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11760" activeTab="1"/>
  </bookViews>
  <sheets>
    <sheet name="Trend" sheetId="1" r:id="rId1"/>
    <sheet name="Seasonality (method 1)" sheetId="3" r:id="rId2"/>
    <sheet name="Seasonality (method 2)" sheetId="2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2" l="1"/>
  <c r="M9" i="2"/>
  <c r="M10" i="2"/>
  <c r="M11" i="2"/>
  <c r="M12" i="2"/>
  <c r="M13" i="2"/>
  <c r="J13" i="2" s="1"/>
  <c r="M14" i="2"/>
  <c r="M7" i="2"/>
  <c r="J4" i="2"/>
  <c r="J5" i="2"/>
  <c r="J6" i="2"/>
  <c r="J7" i="2"/>
  <c r="J8" i="2"/>
  <c r="J9" i="2"/>
  <c r="J10" i="2"/>
  <c r="J11" i="2"/>
  <c r="J14" i="2"/>
  <c r="J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L3" i="2"/>
  <c r="K3" i="2"/>
  <c r="D4" i="2" l="1"/>
  <c r="D3" i="2"/>
  <c r="E4" i="2" s="1"/>
  <c r="F4" i="2" s="1"/>
  <c r="G4" i="2" s="1"/>
  <c r="E2" i="3"/>
  <c r="D2" i="3"/>
  <c r="L11" i="1"/>
  <c r="L10" i="1"/>
  <c r="L9" i="1"/>
  <c r="D11" i="1"/>
  <c r="F2" i="3" l="1"/>
  <c r="E8" i="3"/>
  <c r="E6" i="3"/>
  <c r="E14" i="3" l="1"/>
  <c r="I14" i="3"/>
  <c r="J14" i="3"/>
  <c r="K14" i="3"/>
  <c r="I3" i="3"/>
  <c r="J3" i="3"/>
  <c r="K3" i="3"/>
  <c r="I4" i="3"/>
  <c r="H4" i="3" s="1"/>
  <c r="J4" i="3"/>
  <c r="K4" i="3"/>
  <c r="I5" i="3"/>
  <c r="J5" i="3"/>
  <c r="K5" i="3"/>
  <c r="I6" i="3"/>
  <c r="J6" i="3"/>
  <c r="K6" i="3"/>
  <c r="I7" i="3"/>
  <c r="J7" i="3"/>
  <c r="K7" i="3"/>
  <c r="I8" i="3"/>
  <c r="H8" i="3" s="1"/>
  <c r="J8" i="3"/>
  <c r="K8" i="3"/>
  <c r="I9" i="3"/>
  <c r="J9" i="3"/>
  <c r="K9" i="3"/>
  <c r="I10" i="3"/>
  <c r="J10" i="3"/>
  <c r="K10" i="3"/>
  <c r="I11" i="3"/>
  <c r="J11" i="3"/>
  <c r="K11" i="3"/>
  <c r="I12" i="3"/>
  <c r="H12" i="3" s="1"/>
  <c r="J12" i="3"/>
  <c r="K12" i="3"/>
  <c r="I13" i="3"/>
  <c r="J13" i="3"/>
  <c r="K13" i="3"/>
  <c r="J2" i="3"/>
  <c r="I2" i="3"/>
  <c r="H2" i="3" s="1"/>
  <c r="E3" i="3"/>
  <c r="E4" i="3"/>
  <c r="E5" i="3"/>
  <c r="K2" i="3"/>
  <c r="H14" i="3" l="1"/>
  <c r="H9" i="3"/>
  <c r="H5" i="3"/>
  <c r="H13" i="3"/>
  <c r="H10" i="3"/>
  <c r="H6" i="3"/>
  <c r="H11" i="3"/>
  <c r="H7" i="3"/>
  <c r="H3" i="3"/>
  <c r="F3" i="3"/>
  <c r="F4" i="3"/>
  <c r="F5" i="3"/>
  <c r="F7" i="3"/>
  <c r="D3" i="3"/>
  <c r="E7" i="3" s="1"/>
  <c r="E11" i="3" s="1"/>
  <c r="F11" i="3" s="1"/>
  <c r="D4" i="3"/>
  <c r="E12" i="3" s="1"/>
  <c r="F12" i="3" s="1"/>
  <c r="D5" i="3"/>
  <c r="E9" i="3" s="1"/>
  <c r="E13" i="3" s="1"/>
  <c r="F13" i="3" s="1"/>
  <c r="E10" i="3"/>
  <c r="F10" i="3" s="1"/>
  <c r="F9" i="3" l="1"/>
  <c r="F8" i="3"/>
  <c r="F6" i="3"/>
  <c r="D5" i="2"/>
  <c r="D6" i="2"/>
  <c r="D7" i="2"/>
  <c r="D8" i="2"/>
  <c r="D9" i="2"/>
  <c r="D10" i="2"/>
  <c r="D11" i="2"/>
  <c r="E11" i="2" l="1"/>
  <c r="F11" i="2" s="1"/>
  <c r="G11" i="2" s="1"/>
  <c r="E7" i="2"/>
  <c r="F7" i="2" s="1"/>
  <c r="E10" i="2"/>
  <c r="F10" i="2" s="1"/>
  <c r="G10" i="2" s="1"/>
  <c r="E9" i="2"/>
  <c r="F9" i="2" s="1"/>
  <c r="G9" i="2" s="1"/>
  <c r="E5" i="2"/>
  <c r="F5" i="2" s="1"/>
  <c r="G5" i="2" s="1"/>
  <c r="E6" i="2"/>
  <c r="F6" i="2" s="1"/>
  <c r="E8" i="2"/>
  <c r="F8" i="2" s="1"/>
  <c r="B8" i="1"/>
  <c r="A8" i="1"/>
  <c r="D8" i="1"/>
  <c r="D3" i="1"/>
  <c r="D4" i="1"/>
  <c r="D5" i="1"/>
  <c r="D6" i="1"/>
  <c r="D7" i="1"/>
  <c r="D2" i="1"/>
  <c r="C3" i="1"/>
  <c r="C4" i="1"/>
  <c r="C5" i="1"/>
  <c r="C6" i="1"/>
  <c r="C7" i="1"/>
  <c r="C2" i="1"/>
  <c r="C8" i="1" s="1"/>
  <c r="G8" i="2" l="1"/>
  <c r="M5" i="2"/>
  <c r="G7" i="2"/>
  <c r="M4" i="2"/>
  <c r="G6" i="2"/>
  <c r="M3" i="2"/>
  <c r="O9" i="2"/>
  <c r="J12" i="2"/>
  <c r="G15" i="2"/>
  <c r="M6" i="2"/>
  <c r="N3" i="1"/>
  <c r="D12" i="1"/>
  <c r="O13" i="2" l="1"/>
  <c r="O5" i="2"/>
  <c r="E5" i="1"/>
  <c r="E2" i="1"/>
  <c r="F2" i="1" s="1"/>
  <c r="E6" i="1"/>
  <c r="E3" i="1"/>
  <c r="F3" i="1" s="1"/>
  <c r="G3" i="1" s="1"/>
  <c r="E7" i="1"/>
  <c r="E4" i="1"/>
  <c r="O8" i="2"/>
  <c r="O4" i="2"/>
  <c r="O12" i="2"/>
  <c r="O14" i="2"/>
  <c r="O6" i="2"/>
  <c r="O10" i="2"/>
  <c r="O11" i="2"/>
  <c r="O7" i="2"/>
  <c r="O3" i="2"/>
  <c r="F6" i="1"/>
  <c r="G6" i="1" s="1"/>
  <c r="G2" i="1"/>
  <c r="F7" i="1"/>
  <c r="G7" i="1" s="1"/>
  <c r="F4" i="1"/>
  <c r="G4" i="1" s="1"/>
  <c r="M3" i="1"/>
  <c r="F5" i="1"/>
  <c r="G5" i="1" s="1"/>
  <c r="M4" i="1" l="1"/>
  <c r="N4" i="1" s="1"/>
  <c r="L3" i="1"/>
  <c r="O3" i="1" s="1"/>
  <c r="P3" i="1" s="1"/>
  <c r="M5" i="1" l="1"/>
  <c r="L4" i="1"/>
  <c r="O4" i="1" s="1"/>
  <c r="P4" i="1" s="1"/>
  <c r="N5" i="1" l="1"/>
  <c r="M6" i="1" s="1"/>
  <c r="L5" i="1" l="1"/>
  <c r="O5" i="1" s="1"/>
  <c r="P5" i="1" s="1"/>
  <c r="N6" i="1"/>
  <c r="M7" i="1" s="1"/>
  <c r="L6" i="1" l="1"/>
  <c r="O6" i="1" s="1"/>
  <c r="N7" i="1"/>
  <c r="L7" i="1" s="1"/>
  <c r="O7" i="1" s="1"/>
  <c r="M8" i="1"/>
  <c r="P6" i="1"/>
  <c r="N8" i="1" l="1"/>
  <c r="M9" i="1" s="1"/>
  <c r="N9" i="1" s="1"/>
  <c r="P7" i="1"/>
  <c r="L8" i="1" l="1"/>
  <c r="O8" i="1" s="1"/>
</calcChain>
</file>

<file path=xl/comments1.xml><?xml version="1.0" encoding="utf-8"?>
<comments xmlns="http://schemas.openxmlformats.org/spreadsheetml/2006/main">
  <authors>
    <author>Vinay kalakbandi</author>
  </authors>
  <commentList>
    <comment ref="L9" authorId="0">
      <text>
        <r>
          <rPr>
            <b/>
            <sz val="10"/>
            <color rgb="FF000000"/>
            <rFont val="Tahoma"/>
            <family val="2"/>
          </rPr>
          <t>Vinay kalakbandi: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Please pay specific attention to how the forecasts beyond period 7 is done. </t>
        </r>
      </text>
    </comment>
    <comment ref="C11" authorId="0">
      <text>
        <r>
          <rPr>
            <b/>
            <sz val="10"/>
            <color rgb="FF000000"/>
            <rFont val="Tahoma"/>
            <family val="2"/>
          </rPr>
          <t>Vinay kalakbandi: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Calculation of intercept and slope using formulas. </t>
        </r>
      </text>
    </comment>
    <comment ref="J28" authorId="0">
      <text>
        <r>
          <rPr>
            <b/>
            <sz val="10"/>
            <color rgb="FF000000"/>
            <rFont val="Tahoma"/>
            <family val="2"/>
          </rPr>
          <t>Vinay kalakbandi: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Same as the values in cells D11 and D12</t>
        </r>
      </text>
    </comment>
  </commentList>
</comments>
</file>

<file path=xl/sharedStrings.xml><?xml version="1.0" encoding="utf-8"?>
<sst xmlns="http://schemas.openxmlformats.org/spreadsheetml/2006/main" count="165" uniqueCount="60">
  <si>
    <t>b</t>
  </si>
  <si>
    <t>a</t>
  </si>
  <si>
    <t>t</t>
  </si>
  <si>
    <t>Ft</t>
  </si>
  <si>
    <t>Dt</t>
  </si>
  <si>
    <t>Lt</t>
  </si>
  <si>
    <t>Tt</t>
  </si>
  <si>
    <t>Et</t>
  </si>
  <si>
    <t>t*Dt</t>
  </si>
  <si>
    <t>t*t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</si>
  <si>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</si>
  <si>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</si>
  <si>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</si>
  <si>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</si>
  <si>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</si>
  <si>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</si>
  <si>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</si>
  <si>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</si>
  <si>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</si>
  <si>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</si>
  <si>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</si>
  <si>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</si>
  <si>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</si>
  <si>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</si>
  <si>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</si>
  <si>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</si>
  <si>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</si>
  <si>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</si>
  <si>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</si>
  <si>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</si>
  <si>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</si>
  <si>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</si>
  <si>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</si>
  <si>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</si>
  <si>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</si>
  <si>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Period</t>
  </si>
  <si>
    <t>Year 1 Q 1</t>
  </si>
  <si>
    <t>Year 1 Q 2</t>
  </si>
  <si>
    <t>Year 1 Q 3</t>
  </si>
  <si>
    <t>Year 1 Q 4</t>
  </si>
  <si>
    <t>Year 2 Q 1</t>
  </si>
  <si>
    <t>Year 2 Q 2</t>
  </si>
  <si>
    <t>Year 2 Q 3</t>
  </si>
  <si>
    <t>Year 2 Q 4</t>
  </si>
  <si>
    <t>Year 3 Q 1</t>
  </si>
  <si>
    <t>Year 3 Q 2</t>
  </si>
  <si>
    <t>Year 3 Q 3</t>
  </si>
  <si>
    <t>Year 3 Q 4</t>
  </si>
  <si>
    <t>Seasonality index</t>
  </si>
  <si>
    <t>4 qtr moving average</t>
  </si>
  <si>
    <t>Average demand for period</t>
  </si>
  <si>
    <t>St</t>
  </si>
  <si>
    <t>Ft (static)</t>
  </si>
  <si>
    <t>Year 4 Q 1</t>
  </si>
  <si>
    <t>Average of the same quarter every year</t>
  </si>
  <si>
    <t>Seasonal factor</t>
  </si>
  <si>
    <t>Deaseasonalized demand</t>
  </si>
  <si>
    <t>Forecast including trend &amp; seasonality</t>
  </si>
  <si>
    <t>vkteaching.weebly.com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</si>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</sst>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5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2" borderId="0" xfId="0" applyFont="1" applyFill="1"/>
    <xf numFmtId="0" fontId="0" fillId="0" borderId="0" xfId="0" applyFont="1"/>
    <xf numFmtId="0" fontId="0" fillId="2" borderId="0" xfId="0" applyFont="1" applyFill="1"/>
    <xf numFmtId="0" fontId="3" fillId="2" borderId="0" xfId="0" applyFont="1" applyFill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9" fillId="0" borderId="0" xfId="0" applyFont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opLeftCell="G1" zoomScale="175" zoomScaleNormal="175" workbookViewId="0">
      <selection activeCell="L12" sqref="L12"/>
    </sheetView>
  </sheetViews>
  <sheetFormatPr defaultColWidth="8.85546875" defaultRowHeight="15" x14ac:dyDescent="0.25"/>
  <cols>
    <col min="4" max="4" width="11.140625" customWidth="1"/>
    <col min="5" max="7" width="9.140625" style="7"/>
    <col min="10" max="10" width="13.42578125" customWidth="1"/>
  </cols>
  <sheetData>
    <row r="1" spans="1:16" x14ac:dyDescent="0.2">
      <c r="A1" t="s">
        <v>2</v>
      </c>
      <c r="B1" t="s">
        <v>4</v>
      </c>
      <c r="C1" t="s">
        <v>8</v>
      </c>
      <c r="D1" t="s">
        <v>9</v>
      </c>
      <c r="E1" s="6" t="s">
        <v>3</v>
      </c>
      <c r="F1" s="6" t="s">
        <v>7</v>
      </c>
      <c r="J1" t="s">
        <v>2</v>
      </c>
      <c r="K1" t="s">
        <v>4</v>
      </c>
      <c r="L1" t="s">
        <v>3</v>
      </c>
      <c r="M1" t="s">
        <v>5</v>
      </c>
      <c r="N1" t="s">
        <v>6</v>
      </c>
      <c r="O1" t="s">
        <v>7</v>
      </c>
    </row>
    <row r="2" spans="1:16" x14ac:dyDescent="0.2">
      <c r="A2">
        <v>1</v>
      </c>
      <c r="B2">
        <v>26</v>
      </c>
      <c r="C2">
        <f>A2*B2</f>
        <v>26</v>
      </c>
      <c r="D2">
        <f>A2*A2</f>
        <v>1</v>
      </c>
      <c r="E2" s="6">
        <f>$D$12+$D$11*A2</f>
        <v>25.952380952380953</v>
      </c>
      <c r="F2" s="6">
        <f>B2-E2</f>
        <v>4.761904761904745E-2</v>
      </c>
      <c r="G2" s="7">
        <f>ABS(F2)</f>
        <v>4.761904761904745E-2</v>
      </c>
      <c r="L2" s="7"/>
      <c r="O2" s="7"/>
      <c r="P2" s="7"/>
    </row>
    <row r="3" spans="1:16" x14ac:dyDescent="0.2">
      <c r="A3">
        <v>2</v>
      </c>
      <c r="B3">
        <v>28</v>
      </c>
      <c r="C3">
        <f t="shared" ref="C3:C7" si="0">A3*B3</f>
        <v>56</v>
      </c>
      <c r="D3">
        <f t="shared" ref="D3:D7" si="1">A3*A3</f>
        <v>4</v>
      </c>
      <c r="E3" s="6">
        <f t="shared" ref="E3:E7" si="2">$D$12+$D$11*A3</f>
        <v>27.638095238095236</v>
      </c>
      <c r="F3" s="6">
        <f t="shared" ref="F3:F7" si="3">E3-B3</f>
        <v>-0.36190476190476417</v>
      </c>
      <c r="G3" s="7">
        <f t="shared" ref="G3:G7" si="4">ABS(F3)</f>
        <v>0.36190476190476417</v>
      </c>
      <c r="J3">
        <v>1</v>
      </c>
      <c r="K3">
        <v>26</v>
      </c>
      <c r="L3" s="6">
        <f t="shared" ref="L3:L8" si="5">M3+N3</f>
        <v>25.952380952380953</v>
      </c>
      <c r="M3" s="6">
        <f>D12</f>
        <v>24.266666666666666</v>
      </c>
      <c r="N3" s="6">
        <f>D11</f>
        <v>1.6857142857142857</v>
      </c>
      <c r="O3" s="6">
        <f>K3-L3</f>
        <v>4.761904761904745E-2</v>
      </c>
      <c r="P3" s="7">
        <f>ABS(O3)</f>
        <v>4.761904761904745E-2</v>
      </c>
    </row>
    <row r="4" spans="1:16" x14ac:dyDescent="0.2">
      <c r="A4">
        <v>3</v>
      </c>
      <c r="B4">
        <v>29</v>
      </c>
      <c r="C4">
        <f t="shared" si="0"/>
        <v>87</v>
      </c>
      <c r="D4">
        <f t="shared" si="1"/>
        <v>9</v>
      </c>
      <c r="E4" s="6">
        <f t="shared" si="2"/>
        <v>29.323809523809523</v>
      </c>
      <c r="F4" s="6">
        <f t="shared" si="3"/>
        <v>0.32380952380952266</v>
      </c>
      <c r="G4" s="7">
        <f t="shared" si="4"/>
        <v>0.32380952380952266</v>
      </c>
      <c r="J4">
        <v>2</v>
      </c>
      <c r="K4">
        <v>28</v>
      </c>
      <c r="L4" s="6">
        <f t="shared" si="5"/>
        <v>27.650476190476191</v>
      </c>
      <c r="M4" s="6">
        <f t="shared" ref="M4:M9" si="6">0.2*K3+(1-0.2)*(M3+N3)</f>
        <v>25.961904761904762</v>
      </c>
      <c r="N4" s="6">
        <f>0.3*(M4-M3)+(1-0.3)*N3</f>
        <v>1.6885714285714288</v>
      </c>
      <c r="O4" s="6">
        <f t="shared" ref="O4:O8" si="7">K4-L4</f>
        <v>0.34952380952380935</v>
      </c>
      <c r="P4" s="7">
        <f t="shared" ref="P4:P7" si="8">ABS(O4)</f>
        <v>0.34952380952380935</v>
      </c>
    </row>
    <row r="5" spans="1:16" x14ac:dyDescent="0.2">
      <c r="A5">
        <v>4</v>
      </c>
      <c r="B5">
        <v>31</v>
      </c>
      <c r="C5">
        <f t="shared" si="0"/>
        <v>124</v>
      </c>
      <c r="D5">
        <f t="shared" si="1"/>
        <v>16</v>
      </c>
      <c r="E5" s="6">
        <f t="shared" si="2"/>
        <v>31.009523809523809</v>
      </c>
      <c r="F5" s="6">
        <f t="shared" si="3"/>
        <v>9.52380952380949E-3</v>
      </c>
      <c r="G5" s="7">
        <f t="shared" si="4"/>
        <v>9.52380952380949E-3</v>
      </c>
      <c r="J5">
        <v>3</v>
      </c>
      <c r="K5">
        <v>29</v>
      </c>
      <c r="L5" s="6">
        <f t="shared" si="5"/>
        <v>29.429923809523814</v>
      </c>
      <c r="M5" s="6">
        <f t="shared" si="6"/>
        <v>27.720380952380957</v>
      </c>
      <c r="N5" s="6">
        <f t="shared" ref="N5:N9" si="9">0.3*(M5-M4)+(1-0.3)*N4</f>
        <v>1.7095428571428586</v>
      </c>
      <c r="O5" s="6">
        <f t="shared" si="7"/>
        <v>-0.42992380952381382</v>
      </c>
      <c r="P5" s="7">
        <f t="shared" si="8"/>
        <v>0.42992380952381382</v>
      </c>
    </row>
    <row r="6" spans="1:16" x14ac:dyDescent="0.2">
      <c r="A6">
        <v>5</v>
      </c>
      <c r="B6">
        <v>32</v>
      </c>
      <c r="C6">
        <f t="shared" si="0"/>
        <v>160</v>
      </c>
      <c r="D6">
        <f t="shared" si="1"/>
        <v>25</v>
      </c>
      <c r="E6" s="6">
        <f t="shared" si="2"/>
        <v>32.695238095238096</v>
      </c>
      <c r="F6" s="6">
        <f t="shared" si="3"/>
        <v>0.69523809523809632</v>
      </c>
      <c r="G6" s="7">
        <f t="shared" si="4"/>
        <v>0.69523809523809632</v>
      </c>
      <c r="J6">
        <v>4</v>
      </c>
      <c r="K6">
        <v>31</v>
      </c>
      <c r="L6" s="6">
        <f t="shared" si="5"/>
        <v>31.027686476190482</v>
      </c>
      <c r="M6" s="6">
        <f t="shared" si="6"/>
        <v>29.343939047619052</v>
      </c>
      <c r="N6" s="6">
        <f t="shared" si="9"/>
        <v>1.6837474285714296</v>
      </c>
      <c r="O6" s="6">
        <f t="shared" si="7"/>
        <v>-2.7686476190481812E-2</v>
      </c>
      <c r="P6" s="7">
        <f t="shared" si="8"/>
        <v>2.7686476190481812E-2</v>
      </c>
    </row>
    <row r="7" spans="1:16" x14ac:dyDescent="0.2">
      <c r="A7">
        <v>6</v>
      </c>
      <c r="B7">
        <v>35</v>
      </c>
      <c r="C7">
        <f t="shared" si="0"/>
        <v>210</v>
      </c>
      <c r="D7">
        <f t="shared" si="1"/>
        <v>36</v>
      </c>
      <c r="E7" s="6">
        <f t="shared" si="2"/>
        <v>34.38095238095238</v>
      </c>
      <c r="F7" s="6">
        <f t="shared" si="3"/>
        <v>-0.6190476190476204</v>
      </c>
      <c r="G7" s="7">
        <f t="shared" si="4"/>
        <v>0.6190476190476204</v>
      </c>
      <c r="J7">
        <v>5</v>
      </c>
      <c r="K7">
        <v>32</v>
      </c>
      <c r="L7" s="6">
        <f t="shared" si="5"/>
        <v>32.704235420952386</v>
      </c>
      <c r="M7" s="6">
        <f t="shared" si="6"/>
        <v>31.022149180952386</v>
      </c>
      <c r="N7" s="6">
        <f t="shared" si="9"/>
        <v>1.6820862400000007</v>
      </c>
      <c r="O7" s="6">
        <f t="shared" si="7"/>
        <v>-0.70423542095238645</v>
      </c>
      <c r="P7" s="7">
        <f t="shared" si="8"/>
        <v>0.70423542095238645</v>
      </c>
    </row>
    <row r="8" spans="1:16" x14ac:dyDescent="0.2">
      <c r="A8" s="6">
        <f>AVERAGE(A2:A7)</f>
        <v>3.5</v>
      </c>
      <c r="B8" s="6">
        <f>AVERAGE(B2:B7)</f>
        <v>30.166666666666668</v>
      </c>
      <c r="C8" s="6">
        <f>SUM(C2:C7)</f>
        <v>663</v>
      </c>
      <c r="D8" s="6">
        <f>SUM(D2:D7)</f>
        <v>91</v>
      </c>
      <c r="E8" s="6"/>
      <c r="J8">
        <v>6</v>
      </c>
      <c r="K8">
        <v>35</v>
      </c>
      <c r="L8" s="6">
        <f t="shared" si="5"/>
        <v>34.20322045150477</v>
      </c>
      <c r="M8" s="6">
        <f t="shared" si="6"/>
        <v>32.563388336761911</v>
      </c>
      <c r="N8" s="6">
        <f t="shared" si="9"/>
        <v>1.6398321147428576</v>
      </c>
      <c r="O8" s="6">
        <f t="shared" si="7"/>
        <v>0.79677954849523047</v>
      </c>
      <c r="P8" s="7"/>
    </row>
    <row r="9" spans="1:16" x14ac:dyDescent="0.2">
      <c r="J9">
        <v>7</v>
      </c>
      <c r="K9" s="14"/>
      <c r="L9" s="15">
        <f>M9+N9</f>
        <v>36.050215248856396</v>
      </c>
      <c r="M9" s="14">
        <f t="shared" si="6"/>
        <v>34.362576361203821</v>
      </c>
      <c r="N9" s="14">
        <f t="shared" si="9"/>
        <v>1.6876388876525734</v>
      </c>
      <c r="O9" s="14"/>
      <c r="P9" s="7"/>
    </row>
    <row r="10" spans="1:16" x14ac:dyDescent="0.2">
      <c r="C10" s="7"/>
      <c r="D10" s="7"/>
      <c r="J10">
        <v>8</v>
      </c>
      <c r="K10" s="14"/>
      <c r="L10" s="16">
        <f>M9+2*N9</f>
        <v>37.737854136508972</v>
      </c>
      <c r="M10" s="14"/>
      <c r="N10" s="14"/>
      <c r="O10" s="14"/>
    </row>
    <row r="11" spans="1:16" ht="18" customHeight="1" x14ac:dyDescent="0.25">
      <c r="C11" s="6" t="s">
        <v>0</v>
      </c>
      <c r="D11" s="10">
        <f>(C8-6*A8*B8)/(D8-6*A8^2)</f>
        <v>1.6857142857142857</v>
      </c>
      <c r="J11">
        <v>9</v>
      </c>
      <c r="K11" s="14"/>
      <c r="L11" s="16">
        <f>M9+3*N9</f>
        <v>39.42549302416154</v>
      </c>
      <c r="M11" s="14"/>
      <c r="N11" s="14"/>
      <c r="O11" s="14"/>
    </row>
    <row r="12" spans="1:16" ht="21" x14ac:dyDescent="0.25">
      <c r="C12" s="6" t="s">
        <v>1</v>
      </c>
      <c r="D12" s="10">
        <f>B8-D11*A8</f>
        <v>24.266666666666666</v>
      </c>
      <c r="I12" t="s">
        <v>10</v>
      </c>
      <c r="K12" s="14"/>
      <c r="L12" s="14"/>
      <c r="M12" s="14"/>
      <c r="N12" s="14"/>
      <c r="O12" s="14"/>
    </row>
    <row r="13" spans="1:16" ht="15.95" thickBot="1" x14ac:dyDescent="0.25"/>
    <row r="14" spans="1:16" x14ac:dyDescent="0.2">
      <c r="I14" s="4" t="s">
        <v>11</v>
      </c>
      <c r="J14" s="4"/>
    </row>
    <row r="15" spans="1:16" x14ac:dyDescent="0.25">
      <c r="I15" s="1" t="s">
        <v>12</v>
      </c>
      <c r="J15" s="1">
        <v>0.98907379852198918</v>
      </c>
    </row>
    <row r="16" spans="1:16" x14ac:dyDescent="0.25">
      <c r="I16" s="1" t="s">
        <v>13</v>
      </c>
      <c r="J16" s="1">
        <v>0.97826697892271652</v>
      </c>
    </row>
    <row r="17" spans="3:17" ht="18.75" x14ac:dyDescent="0.3">
      <c r="C17" s="20" t="s">
        <v>58</v>
      </c>
      <c r="I17" s="1" t="s">
        <v>14</v>
      </c>
      <c r="J17" s="1">
        <v>0.97283372365339571</v>
      </c>
    </row>
    <row r="18" spans="3:17" x14ac:dyDescent="0.25">
      <c r="I18" s="1" t="s">
        <v>15</v>
      </c>
      <c r="J18" s="1">
        <v>0.52553827281224386</v>
      </c>
    </row>
    <row r="19" spans="3:17" ht="15.75" thickBot="1" x14ac:dyDescent="0.3">
      <c r="I19" s="2" t="s">
        <v>16</v>
      </c>
      <c r="J19" s="2">
        <v>6</v>
      </c>
    </row>
    <row r="21" spans="3:17" ht="15.75" thickBot="1" x14ac:dyDescent="0.3">
      <c r="I21" t="s">
        <v>17</v>
      </c>
    </row>
    <row r="22" spans="3:17" x14ac:dyDescent="0.25">
      <c r="I22" s="3"/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</row>
    <row r="23" spans="3:17" x14ac:dyDescent="0.25">
      <c r="I23" s="1" t="s">
        <v>18</v>
      </c>
      <c r="J23" s="1">
        <v>1</v>
      </c>
      <c r="K23" s="1">
        <v>49.728571428571428</v>
      </c>
      <c r="L23" s="1">
        <v>49.728571428571428</v>
      </c>
      <c r="M23" s="1">
        <v>180.05172413793088</v>
      </c>
      <c r="N23" s="1">
        <v>1.7842062287716813E-4</v>
      </c>
    </row>
    <row r="24" spans="3:17" x14ac:dyDescent="0.25">
      <c r="I24" s="1" t="s">
        <v>19</v>
      </c>
      <c r="J24" s="1">
        <v>4</v>
      </c>
      <c r="K24" s="1">
        <v>1.1047619047619057</v>
      </c>
      <c r="L24" s="1">
        <v>0.27619047619047643</v>
      </c>
      <c r="M24" s="1"/>
      <c r="N24" s="1"/>
    </row>
    <row r="25" spans="3:17" ht="15.75" thickBot="1" x14ac:dyDescent="0.3">
      <c r="I25" s="2" t="s">
        <v>20</v>
      </c>
      <c r="J25" s="2">
        <v>5</v>
      </c>
      <c r="K25" s="2">
        <v>50.833333333333336</v>
      </c>
      <c r="L25" s="2"/>
      <c r="M25" s="2"/>
      <c r="N25" s="2"/>
    </row>
    <row r="26" spans="3:17" ht="15.75" thickBot="1" x14ac:dyDescent="0.3"/>
    <row r="27" spans="3:17" x14ac:dyDescent="0.25">
      <c r="I27" s="3"/>
      <c r="J27" s="3" t="s">
        <v>27</v>
      </c>
      <c r="K27" s="3" t="s">
        <v>15</v>
      </c>
      <c r="L27" s="3" t="s">
        <v>28</v>
      </c>
      <c r="M27" s="3" t="s">
        <v>29</v>
      </c>
      <c r="N27" s="3" t="s">
        <v>30</v>
      </c>
      <c r="O27" s="3" t="s">
        <v>31</v>
      </c>
      <c r="P27" s="3" t="s">
        <v>32</v>
      </c>
      <c r="Q27" s="3" t="s">
        <v>33</v>
      </c>
    </row>
    <row r="28" spans="3:17" ht="21" x14ac:dyDescent="0.35">
      <c r="I28" s="1" t="s">
        <v>21</v>
      </c>
      <c r="J28" s="8">
        <v>24.266666666666666</v>
      </c>
      <c r="K28" s="1">
        <v>0.48924950624919344</v>
      </c>
      <c r="L28" s="1">
        <v>49.599777530090599</v>
      </c>
      <c r="M28" s="1">
        <v>9.8868140998732951E-7</v>
      </c>
      <c r="N28" s="1">
        <v>22.908292269820656</v>
      </c>
      <c r="O28" s="1">
        <v>25.625041063512676</v>
      </c>
      <c r="P28" s="1">
        <v>22.908292269820656</v>
      </c>
      <c r="Q28" s="1">
        <v>25.625041063512676</v>
      </c>
    </row>
    <row r="29" spans="3:17" ht="21.75" thickBot="1" x14ac:dyDescent="0.4">
      <c r="I29" s="2" t="s">
        <v>34</v>
      </c>
      <c r="J29" s="9">
        <v>1.6857142857142857</v>
      </c>
      <c r="K29" s="2">
        <v>0.12562767579307549</v>
      </c>
      <c r="L29" s="2">
        <v>13.418335371346583</v>
      </c>
      <c r="M29" s="2">
        <v>1.7842062287716813E-4</v>
      </c>
      <c r="N29" s="2">
        <v>1.3369159401812261</v>
      </c>
      <c r="O29" s="2">
        <v>2.0345126312473454</v>
      </c>
      <c r="P29" s="2">
        <v>1.3369159401812261</v>
      </c>
      <c r="Q29" s="2">
        <v>2.0345126312473454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45" zoomScaleNormal="145" workbookViewId="0">
      <selection activeCell="D17" sqref="D17:L37"/>
    </sheetView>
  </sheetViews>
  <sheetFormatPr defaultColWidth="8.85546875" defaultRowHeight="15" x14ac:dyDescent="0.25"/>
  <cols>
    <col min="4" max="4" width="9" style="14" customWidth="1"/>
    <col min="5" max="5" width="13.28515625" style="14" customWidth="1"/>
    <col min="6" max="6" width="10.85546875" style="14" customWidth="1"/>
    <col min="7" max="8" width="10.85546875" customWidth="1"/>
  </cols>
  <sheetData>
    <row r="1" spans="1:11" ht="63.95" x14ac:dyDescent="0.2">
      <c r="A1" t="s">
        <v>35</v>
      </c>
      <c r="B1" t="s">
        <v>2</v>
      </c>
      <c r="C1" t="s">
        <v>4</v>
      </c>
      <c r="D1" s="17" t="s">
        <v>54</v>
      </c>
      <c r="E1" s="18" t="s">
        <v>55</v>
      </c>
      <c r="F1" s="18" t="s">
        <v>56</v>
      </c>
      <c r="G1" s="5"/>
      <c r="H1" s="5" t="s">
        <v>57</v>
      </c>
      <c r="I1" s="5" t="s">
        <v>3</v>
      </c>
      <c r="J1" s="5" t="s">
        <v>6</v>
      </c>
      <c r="K1" s="5" t="s">
        <v>51</v>
      </c>
    </row>
    <row r="2" spans="1:11" x14ac:dyDescent="0.2">
      <c r="A2" t="s">
        <v>36</v>
      </c>
      <c r="B2">
        <v>1</v>
      </c>
      <c r="C2">
        <v>360</v>
      </c>
      <c r="D2" s="14">
        <f>AVERAGE(C2,C6,C10)</f>
        <v>419</v>
      </c>
      <c r="E2" s="14">
        <f>D2/AVERAGE($D$2:$D$5)</f>
        <v>0.93509391854193791</v>
      </c>
      <c r="F2" s="14">
        <f>C2/E2</f>
        <v>384.98806682577566</v>
      </c>
      <c r="H2" s="19">
        <f>(I2+B2*J2)*K2</f>
        <v>341.91984493481897</v>
      </c>
      <c r="I2">
        <f>$E$33</f>
        <v>350.66560137392025</v>
      </c>
      <c r="J2">
        <f>$E$34</f>
        <v>14.987343378371241</v>
      </c>
      <c r="K2">
        <f>E2</f>
        <v>0.93509391854193791</v>
      </c>
    </row>
    <row r="3" spans="1:11" x14ac:dyDescent="0.2">
      <c r="A3" t="s">
        <v>37</v>
      </c>
      <c r="B3">
        <v>2</v>
      </c>
      <c r="C3">
        <v>438</v>
      </c>
      <c r="D3" s="14">
        <f t="shared" ref="D3:D5" si="0">AVERAGE(C3,C7,C11)</f>
        <v>507</v>
      </c>
      <c r="E3" s="14">
        <f t="shared" ref="E3:E5" si="1">D3/AVERAGE($D$2:$D$5)</f>
        <v>1.131485958713037</v>
      </c>
      <c r="F3" s="14">
        <f t="shared" ref="F3:F13" si="2">C3/E3</f>
        <v>387.10157790927019</v>
      </c>
      <c r="H3" s="19">
        <f>(I3+B3*J3)*K3</f>
        <v>430.68914134032957</v>
      </c>
      <c r="I3">
        <f t="shared" ref="I3:I14" si="3">$E$33</f>
        <v>350.66560137392025</v>
      </c>
      <c r="J3">
        <f t="shared" ref="J3:J14" si="4">$E$34</f>
        <v>14.987343378371241</v>
      </c>
      <c r="K3">
        <f t="shared" ref="K3:K13" si="5">E3</f>
        <v>1.131485958713037</v>
      </c>
    </row>
    <row r="4" spans="1:11" x14ac:dyDescent="0.2">
      <c r="A4" t="s">
        <v>38</v>
      </c>
      <c r="B4">
        <v>3</v>
      </c>
      <c r="C4">
        <v>359</v>
      </c>
      <c r="D4" s="14">
        <f t="shared" si="0"/>
        <v>396.33333333333331</v>
      </c>
      <c r="E4" s="14">
        <f t="shared" si="1"/>
        <v>0.88450809001301844</v>
      </c>
      <c r="F4" s="14">
        <f t="shared" si="2"/>
        <v>405.87531539108494</v>
      </c>
      <c r="H4" s="19">
        <f t="shared" ref="H4:H13" si="6">(I4+B4*J4)*K4</f>
        <v>349.93584070242991</v>
      </c>
      <c r="I4">
        <f t="shared" si="3"/>
        <v>350.66560137392025</v>
      </c>
      <c r="J4">
        <f t="shared" si="4"/>
        <v>14.987343378371241</v>
      </c>
      <c r="K4">
        <f t="shared" si="5"/>
        <v>0.88450809001301844</v>
      </c>
    </row>
    <row r="5" spans="1:11" x14ac:dyDescent="0.2">
      <c r="A5" t="s">
        <v>39</v>
      </c>
      <c r="B5">
        <v>4</v>
      </c>
      <c r="C5">
        <v>406</v>
      </c>
      <c r="D5" s="14">
        <f t="shared" si="0"/>
        <v>470</v>
      </c>
      <c r="E5" s="14">
        <f t="shared" si="1"/>
        <v>1.0489120327320067</v>
      </c>
      <c r="F5" s="14">
        <f t="shared" si="2"/>
        <v>387.06773049645386</v>
      </c>
      <c r="H5" s="19">
        <f t="shared" si="6"/>
        <v>430.69898797935008</v>
      </c>
      <c r="I5">
        <f t="shared" si="3"/>
        <v>350.66560137392025</v>
      </c>
      <c r="J5">
        <f t="shared" si="4"/>
        <v>14.987343378371241</v>
      </c>
      <c r="K5">
        <f t="shared" si="5"/>
        <v>1.0489120327320067</v>
      </c>
    </row>
    <row r="6" spans="1:11" x14ac:dyDescent="0.2">
      <c r="A6" t="s">
        <v>40</v>
      </c>
      <c r="B6">
        <v>5</v>
      </c>
      <c r="C6">
        <v>393</v>
      </c>
      <c r="E6" s="14">
        <f>E2</f>
        <v>0.93509391854193791</v>
      </c>
      <c r="F6" s="14">
        <f t="shared" si="2"/>
        <v>420.27863961813841</v>
      </c>
      <c r="H6" s="19">
        <f t="shared" si="6"/>
        <v>397.97813952767791</v>
      </c>
      <c r="I6">
        <f t="shared" si="3"/>
        <v>350.66560137392025</v>
      </c>
      <c r="J6">
        <f t="shared" si="4"/>
        <v>14.987343378371241</v>
      </c>
      <c r="K6">
        <f t="shared" si="5"/>
        <v>0.93509391854193791</v>
      </c>
    </row>
    <row r="7" spans="1:11" x14ac:dyDescent="0.2">
      <c r="A7" t="s">
        <v>41</v>
      </c>
      <c r="B7">
        <v>6</v>
      </c>
      <c r="C7">
        <v>465</v>
      </c>
      <c r="E7" s="14">
        <f t="shared" ref="E7:E14" si="7">E3</f>
        <v>1.131485958713037</v>
      </c>
      <c r="F7" s="14">
        <f t="shared" si="2"/>
        <v>410.96400394477314</v>
      </c>
      <c r="H7" s="19">
        <f t="shared" si="6"/>
        <v>498.52101570448104</v>
      </c>
      <c r="I7">
        <f t="shared" si="3"/>
        <v>350.66560137392025</v>
      </c>
      <c r="J7">
        <f t="shared" si="4"/>
        <v>14.987343378371241</v>
      </c>
      <c r="K7">
        <f t="shared" si="5"/>
        <v>1.131485958713037</v>
      </c>
    </row>
    <row r="8" spans="1:11" x14ac:dyDescent="0.2">
      <c r="A8" t="s">
        <v>42</v>
      </c>
      <c r="B8">
        <v>7</v>
      </c>
      <c r="C8">
        <v>387</v>
      </c>
      <c r="E8" s="14">
        <f>E4</f>
        <v>0.88450809001301844</v>
      </c>
      <c r="F8" s="14">
        <f t="shared" si="2"/>
        <v>437.53132884777119</v>
      </c>
      <c r="H8" s="19">
        <f t="shared" si="6"/>
        <v>402.96154656631956</v>
      </c>
      <c r="I8">
        <f t="shared" si="3"/>
        <v>350.66560137392025</v>
      </c>
      <c r="J8">
        <f t="shared" si="4"/>
        <v>14.987343378371241</v>
      </c>
      <c r="K8">
        <f t="shared" si="5"/>
        <v>0.88450809001301844</v>
      </c>
    </row>
    <row r="9" spans="1:11" x14ac:dyDescent="0.2">
      <c r="A9" t="s">
        <v>43</v>
      </c>
      <c r="B9">
        <v>8</v>
      </c>
      <c r="C9">
        <v>464</v>
      </c>
      <c r="E9" s="14">
        <f t="shared" si="7"/>
        <v>1.0489120327320067</v>
      </c>
      <c r="F9" s="14">
        <f t="shared" si="2"/>
        <v>442.36312056737586</v>
      </c>
      <c r="H9" s="19">
        <f t="shared" si="6"/>
        <v>493.58060721238996</v>
      </c>
      <c r="I9">
        <f t="shared" si="3"/>
        <v>350.66560137392025</v>
      </c>
      <c r="J9">
        <f t="shared" si="4"/>
        <v>14.987343378371241</v>
      </c>
      <c r="K9">
        <f t="shared" si="5"/>
        <v>1.0489120327320067</v>
      </c>
    </row>
    <row r="10" spans="1:11" x14ac:dyDescent="0.2">
      <c r="A10" t="s">
        <v>44</v>
      </c>
      <c r="B10">
        <v>9</v>
      </c>
      <c r="C10">
        <v>504</v>
      </c>
      <c r="E10" s="14">
        <f t="shared" si="7"/>
        <v>0.93509391854193791</v>
      </c>
      <c r="F10" s="14">
        <f t="shared" si="2"/>
        <v>538.98329355608587</v>
      </c>
      <c r="H10" s="19">
        <f t="shared" si="6"/>
        <v>454.03643412053685</v>
      </c>
      <c r="I10">
        <f t="shared" si="3"/>
        <v>350.66560137392025</v>
      </c>
      <c r="J10">
        <f t="shared" si="4"/>
        <v>14.987343378371241</v>
      </c>
      <c r="K10">
        <f t="shared" si="5"/>
        <v>0.93509391854193791</v>
      </c>
    </row>
    <row r="11" spans="1:11" x14ac:dyDescent="0.2">
      <c r="A11" t="s">
        <v>45</v>
      </c>
      <c r="B11">
        <v>10</v>
      </c>
      <c r="C11">
        <v>618</v>
      </c>
      <c r="E11" s="14">
        <f t="shared" si="7"/>
        <v>1.131485958713037</v>
      </c>
      <c r="F11" s="14">
        <f t="shared" si="2"/>
        <v>546.18441814595656</v>
      </c>
      <c r="H11" s="19">
        <f t="shared" si="6"/>
        <v>566.35289006863252</v>
      </c>
      <c r="I11">
        <f t="shared" si="3"/>
        <v>350.66560137392025</v>
      </c>
      <c r="J11">
        <f t="shared" si="4"/>
        <v>14.987343378371241</v>
      </c>
      <c r="K11">
        <f t="shared" si="5"/>
        <v>1.131485958713037</v>
      </c>
    </row>
    <row r="12" spans="1:11" x14ac:dyDescent="0.2">
      <c r="A12" t="s">
        <v>46</v>
      </c>
      <c r="B12">
        <v>11</v>
      </c>
      <c r="C12">
        <v>443</v>
      </c>
      <c r="E12" s="14">
        <f t="shared" si="7"/>
        <v>0.88450809001301844</v>
      </c>
      <c r="F12" s="14">
        <f t="shared" si="2"/>
        <v>500.84335576114381</v>
      </c>
      <c r="H12" s="19">
        <f t="shared" si="6"/>
        <v>455.98725243020914</v>
      </c>
      <c r="I12">
        <f t="shared" si="3"/>
        <v>350.66560137392025</v>
      </c>
      <c r="J12">
        <f t="shared" si="4"/>
        <v>14.987343378371241</v>
      </c>
      <c r="K12">
        <f t="shared" si="5"/>
        <v>0.88450809001301844</v>
      </c>
    </row>
    <row r="13" spans="1:11" x14ac:dyDescent="0.2">
      <c r="A13" t="s">
        <v>47</v>
      </c>
      <c r="B13">
        <v>12</v>
      </c>
      <c r="C13">
        <v>540</v>
      </c>
      <c r="E13" s="14">
        <f t="shared" si="7"/>
        <v>1.0489120327320067</v>
      </c>
      <c r="F13" s="14">
        <f t="shared" si="2"/>
        <v>514.81914893617022</v>
      </c>
      <c r="H13" s="19">
        <f t="shared" si="6"/>
        <v>556.46222644542968</v>
      </c>
      <c r="I13">
        <f t="shared" si="3"/>
        <v>350.66560137392025</v>
      </c>
      <c r="J13">
        <f t="shared" si="4"/>
        <v>14.987343378371241</v>
      </c>
      <c r="K13">
        <f t="shared" si="5"/>
        <v>1.0489120327320067</v>
      </c>
    </row>
    <row r="14" spans="1:11" x14ac:dyDescent="0.2">
      <c r="A14" t="s">
        <v>53</v>
      </c>
      <c r="B14">
        <v>13</v>
      </c>
      <c r="E14" s="14">
        <f t="shared" si="7"/>
        <v>0.93509391854193791</v>
      </c>
      <c r="H14" s="19">
        <f t="shared" ref="H14" si="8">(I14+B14*J14)*K14</f>
        <v>510.09472871339574</v>
      </c>
      <c r="I14">
        <f t="shared" si="3"/>
        <v>350.66560137392025</v>
      </c>
      <c r="J14">
        <f t="shared" si="4"/>
        <v>14.987343378371241</v>
      </c>
      <c r="K14">
        <f t="shared" ref="K14" si="9">E14</f>
        <v>0.93509391854193791</v>
      </c>
    </row>
    <row r="17" spans="4:12" x14ac:dyDescent="0.25">
      <c r="D17" t="s">
        <v>10</v>
      </c>
      <c r="E17"/>
      <c r="F17"/>
    </row>
    <row r="18" spans="4:12" ht="15.75" thickBot="1" x14ac:dyDescent="0.3">
      <c r="D18"/>
      <c r="E18"/>
      <c r="F18"/>
    </row>
    <row r="19" spans="4:12" x14ac:dyDescent="0.25">
      <c r="D19" s="4" t="s">
        <v>11</v>
      </c>
      <c r="E19" s="4"/>
      <c r="F19"/>
    </row>
    <row r="20" spans="4:12" x14ac:dyDescent="0.25">
      <c r="D20" s="1" t="s">
        <v>12</v>
      </c>
      <c r="E20" s="1">
        <v>0.88921333252395052</v>
      </c>
      <c r="F20"/>
    </row>
    <row r="21" spans="4:12" x14ac:dyDescent="0.25">
      <c r="D21" s="1" t="s">
        <v>13</v>
      </c>
      <c r="E21" s="1">
        <v>0.79070035073834988</v>
      </c>
      <c r="F21"/>
    </row>
    <row r="22" spans="4:12" x14ac:dyDescent="0.25">
      <c r="D22" s="1" t="s">
        <v>14</v>
      </c>
      <c r="E22" s="1">
        <v>0.76977038581218482</v>
      </c>
      <c r="F22"/>
    </row>
    <row r="23" spans="4:12" x14ac:dyDescent="0.25">
      <c r="D23" s="1" t="s">
        <v>15</v>
      </c>
      <c r="E23" s="1">
        <v>29.158888213205174</v>
      </c>
      <c r="F23"/>
    </row>
    <row r="24" spans="4:12" ht="15.75" thickBot="1" x14ac:dyDescent="0.3">
      <c r="D24" s="2" t="s">
        <v>16</v>
      </c>
      <c r="E24" s="2">
        <v>12</v>
      </c>
      <c r="F24"/>
    </row>
    <row r="25" spans="4:12" x14ac:dyDescent="0.25">
      <c r="D25"/>
      <c r="E25"/>
      <c r="F25"/>
    </row>
    <row r="26" spans="4:12" ht="15.75" thickBot="1" x14ac:dyDescent="0.3">
      <c r="D26" t="s">
        <v>17</v>
      </c>
      <c r="E26"/>
      <c r="F26"/>
    </row>
    <row r="27" spans="4:12" x14ac:dyDescent="0.25">
      <c r="D27" s="3"/>
      <c r="E27" s="3" t="s">
        <v>22</v>
      </c>
      <c r="F27" s="3" t="s">
        <v>23</v>
      </c>
      <c r="G27" s="3" t="s">
        <v>24</v>
      </c>
      <c r="H27" s="3" t="s">
        <v>25</v>
      </c>
      <c r="I27" s="3" t="s">
        <v>26</v>
      </c>
    </row>
    <row r="28" spans="4:12" x14ac:dyDescent="0.25">
      <c r="D28" s="1" t="s">
        <v>18</v>
      </c>
      <c r="E28" s="1">
        <v>1</v>
      </c>
      <c r="F28" s="1">
        <v>32120.726000392773</v>
      </c>
      <c r="G28" s="1">
        <v>32120.726000392773</v>
      </c>
      <c r="H28" s="1">
        <v>37.778388713393291</v>
      </c>
      <c r="I28" s="1">
        <v>1.0883375735381934E-4</v>
      </c>
    </row>
    <row r="29" spans="4:12" x14ac:dyDescent="0.25">
      <c r="D29" s="1" t="s">
        <v>19</v>
      </c>
      <c r="E29" s="1">
        <v>10</v>
      </c>
      <c r="F29" s="1">
        <v>8502.4076183019552</v>
      </c>
      <c r="G29" s="1">
        <v>850.24076183019554</v>
      </c>
      <c r="H29" s="1"/>
      <c r="I29" s="1"/>
    </row>
    <row r="30" spans="4:12" ht="15.75" thickBot="1" x14ac:dyDescent="0.3">
      <c r="D30" s="2" t="s">
        <v>20</v>
      </c>
      <c r="E30" s="2">
        <v>11</v>
      </c>
      <c r="F30" s="2">
        <v>40623.13361869473</v>
      </c>
      <c r="G30" s="2"/>
      <c r="H30" s="2"/>
      <c r="I30" s="2"/>
    </row>
    <row r="31" spans="4:12" ht="15.75" thickBot="1" x14ac:dyDescent="0.3">
      <c r="D31"/>
      <c r="E31"/>
      <c r="F31"/>
    </row>
    <row r="32" spans="4:12" x14ac:dyDescent="0.25">
      <c r="D32" s="3"/>
      <c r="E32" s="3" t="s">
        <v>27</v>
      </c>
      <c r="F32" s="3" t="s">
        <v>15</v>
      </c>
      <c r="G32" s="3" t="s">
        <v>28</v>
      </c>
      <c r="H32" s="3" t="s">
        <v>29</v>
      </c>
      <c r="I32" s="3" t="s">
        <v>30</v>
      </c>
      <c r="J32" s="3" t="s">
        <v>31</v>
      </c>
      <c r="K32" s="3" t="s">
        <v>32</v>
      </c>
      <c r="L32" s="3" t="s">
        <v>33</v>
      </c>
    </row>
    <row r="33" spans="4:12" x14ac:dyDescent="0.25">
      <c r="D33" s="1" t="s">
        <v>21</v>
      </c>
      <c r="E33" s="1">
        <v>350.66560137392025</v>
      </c>
      <c r="F33" s="1">
        <v>17.946055127315582</v>
      </c>
      <c r="G33" s="1">
        <v>19.539982402047471</v>
      </c>
      <c r="H33" s="1">
        <v>2.6939430616662733E-9</v>
      </c>
      <c r="I33" s="1">
        <v>310.67929870486091</v>
      </c>
      <c r="J33" s="1">
        <v>390.6519040429796</v>
      </c>
      <c r="K33" s="1">
        <v>310.67929870486091</v>
      </c>
      <c r="L33" s="1">
        <v>390.6519040429796</v>
      </c>
    </row>
    <row r="34" spans="4:12" ht="15.75" thickBot="1" x14ac:dyDescent="0.3">
      <c r="D34" s="2" t="s">
        <v>34</v>
      </c>
      <c r="E34" s="2">
        <v>14.987343378371241</v>
      </c>
      <c r="F34" s="2">
        <v>2.4383887288982762</v>
      </c>
      <c r="G34" s="2">
        <v>6.1464126702812028</v>
      </c>
      <c r="H34" s="2">
        <v>1.0883375735381906E-4</v>
      </c>
      <c r="I34" s="2">
        <v>9.5542747152675656</v>
      </c>
      <c r="J34" s="2">
        <v>20.420412041474918</v>
      </c>
      <c r="K34" s="2">
        <v>9.5542747152675656</v>
      </c>
      <c r="L34" s="2">
        <v>20.420412041474918</v>
      </c>
    </row>
    <row r="35" spans="4:12" x14ac:dyDescent="0.25">
      <c r="D35"/>
      <c r="E35"/>
      <c r="F35"/>
    </row>
    <row r="36" spans="4:12" x14ac:dyDescent="0.25">
      <c r="D36"/>
      <c r="E36"/>
      <c r="F36"/>
    </row>
    <row r="37" spans="4:12" x14ac:dyDescent="0.25">
      <c r="D37"/>
      <c r="E37"/>
      <c r="F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opLeftCell="A25" zoomScale="175" zoomScaleNormal="175" workbookViewId="0">
      <selection activeCell="A39" sqref="A39"/>
    </sheetView>
  </sheetViews>
  <sheetFormatPr defaultColWidth="8.85546875" defaultRowHeight="15" x14ac:dyDescent="0.25"/>
  <cols>
    <col min="1" max="1" width="9.85546875" bestFit="1" customWidth="1"/>
    <col min="4" max="4" width="9" style="7" customWidth="1"/>
    <col min="5" max="5" width="13.28515625" style="7" customWidth="1"/>
    <col min="6" max="6" width="10.85546875" style="7" customWidth="1"/>
    <col min="7" max="7" width="10.85546875" customWidth="1"/>
    <col min="8" max="8" width="10.85546875" hidden="1" customWidth="1"/>
    <col min="9" max="12" width="10.85546875" customWidth="1"/>
  </cols>
  <sheetData>
    <row r="1" spans="1:21" ht="45" x14ac:dyDescent="0.25">
      <c r="A1" t="s">
        <v>35</v>
      </c>
      <c r="B1" t="s">
        <v>2</v>
      </c>
      <c r="C1" t="s">
        <v>4</v>
      </c>
      <c r="D1" s="11" t="s">
        <v>49</v>
      </c>
      <c r="E1" s="12" t="s">
        <v>50</v>
      </c>
      <c r="F1" s="12" t="s">
        <v>48</v>
      </c>
      <c r="G1" s="5"/>
      <c r="H1" s="5"/>
      <c r="I1" t="s">
        <v>2</v>
      </c>
      <c r="J1" s="5" t="s">
        <v>59</v>
      </c>
      <c r="K1" s="5" t="s">
        <v>3</v>
      </c>
      <c r="L1" s="5" t="s">
        <v>6</v>
      </c>
      <c r="M1" s="5" t="s">
        <v>51</v>
      </c>
      <c r="O1" s="5" t="s">
        <v>52</v>
      </c>
    </row>
    <row r="2" spans="1:21" x14ac:dyDescent="0.25">
      <c r="A2" t="s">
        <v>36</v>
      </c>
      <c r="B2">
        <v>1</v>
      </c>
      <c r="C2">
        <v>360</v>
      </c>
      <c r="J2" s="5"/>
      <c r="M2" s="5"/>
    </row>
    <row r="3" spans="1:21" x14ac:dyDescent="0.25">
      <c r="A3" t="s">
        <v>37</v>
      </c>
      <c r="B3">
        <v>2</v>
      </c>
      <c r="C3">
        <v>438</v>
      </c>
      <c r="D3" s="6">
        <f>AVERAGE(C2:C5)</f>
        <v>390.75</v>
      </c>
      <c r="I3">
        <v>1</v>
      </c>
      <c r="J3">
        <f>(K3+I3*L3)*M3</f>
        <v>337.29434230218862</v>
      </c>
      <c r="K3" s="5">
        <f>$U$23</f>
        <v>324.26488095238096</v>
      </c>
      <c r="L3" s="5">
        <f>$U$24</f>
        <v>18.550595238095241</v>
      </c>
      <c r="M3">
        <f>AVERAGE(F6,F10)</f>
        <v>0.98389473558883345</v>
      </c>
      <c r="O3">
        <f>($K$3+I3*$L$3)*M3</f>
        <v>337.29434230218862</v>
      </c>
    </row>
    <row r="4" spans="1:21" x14ac:dyDescent="0.25">
      <c r="A4" t="s">
        <v>38</v>
      </c>
      <c r="B4">
        <v>3</v>
      </c>
      <c r="C4">
        <v>359</v>
      </c>
      <c r="D4" s="6">
        <f>AVERAGE(C3:C6)</f>
        <v>399</v>
      </c>
      <c r="E4" s="6">
        <f>(D3+D4)/2</f>
        <v>394.875</v>
      </c>
      <c r="F4" s="6">
        <f>C4/E4</f>
        <v>0.90914846470402022</v>
      </c>
      <c r="G4">
        <f>C4/F4</f>
        <v>394.875</v>
      </c>
      <c r="I4">
        <v>2</v>
      </c>
      <c r="J4">
        <f t="shared" ref="J4:J14" si="0">(K4+I4*L4)*M4</f>
        <v>416.12730457295402</v>
      </c>
      <c r="K4" s="5">
        <f t="shared" ref="K4:K14" si="1">$U$23</f>
        <v>324.26488095238096</v>
      </c>
      <c r="L4" s="5">
        <f t="shared" ref="L4:L14" si="2">$U$24</f>
        <v>18.550595238095241</v>
      </c>
      <c r="M4">
        <f>AVERAGE(F7,F11)</f>
        <v>1.1515394982376115</v>
      </c>
      <c r="O4">
        <f>($K$3+I4*$L$3)*M4</f>
        <v>416.12730457295402</v>
      </c>
    </row>
    <row r="5" spans="1:21" x14ac:dyDescent="0.25">
      <c r="A5" t="s">
        <v>39</v>
      </c>
      <c r="B5">
        <v>4</v>
      </c>
      <c r="C5">
        <v>406</v>
      </c>
      <c r="D5" s="6">
        <f t="shared" ref="D5:D11" si="3">AVERAGE(C4:C7)</f>
        <v>405.75</v>
      </c>
      <c r="E5" s="6">
        <f t="shared" ref="E5:E11" si="4">(D4+D5)/2</f>
        <v>402.375</v>
      </c>
      <c r="F5" s="6">
        <f t="shared" ref="F5:F11" si="5">C5/E5</f>
        <v>1.0090090090090089</v>
      </c>
      <c r="G5">
        <f t="shared" ref="G5:G11" si="6">C5/F5</f>
        <v>402.37500000000006</v>
      </c>
      <c r="I5">
        <v>3</v>
      </c>
      <c r="J5">
        <f t="shared" si="0"/>
        <v>226.23414647458111</v>
      </c>
      <c r="K5" s="5">
        <f t="shared" si="1"/>
        <v>324.26488095238096</v>
      </c>
      <c r="L5" s="5">
        <f t="shared" si="2"/>
        <v>18.550595238095241</v>
      </c>
      <c r="M5">
        <f>AVERAGE(F4,F8,)</f>
        <v>0.59548360554836</v>
      </c>
      <c r="O5">
        <f>($K$3+I5*$L$3)*M5</f>
        <v>226.23414647458111</v>
      </c>
    </row>
    <row r="6" spans="1:21" x14ac:dyDescent="0.25">
      <c r="A6" t="s">
        <v>40</v>
      </c>
      <c r="B6">
        <v>5</v>
      </c>
      <c r="C6">
        <v>393</v>
      </c>
      <c r="D6" s="6">
        <f t="shared" si="3"/>
        <v>412.75</v>
      </c>
      <c r="E6" s="6">
        <f t="shared" si="4"/>
        <v>409.25</v>
      </c>
      <c r="F6" s="13">
        <f t="shared" si="5"/>
        <v>0.96029321930360412</v>
      </c>
      <c r="G6">
        <f t="shared" si="6"/>
        <v>409.25</v>
      </c>
      <c r="I6">
        <v>4</v>
      </c>
      <c r="J6">
        <f t="shared" si="0"/>
        <v>396.00749981649005</v>
      </c>
      <c r="K6" s="5">
        <f t="shared" si="1"/>
        <v>324.26488095238096</v>
      </c>
      <c r="L6" s="5">
        <f t="shared" si="2"/>
        <v>18.550595238095241</v>
      </c>
      <c r="M6">
        <f>AVERAGE(F5,F9)</f>
        <v>0.99382694057094256</v>
      </c>
      <c r="O6">
        <f>($K$3+I6*$L$3)*M6</f>
        <v>396.00749981649005</v>
      </c>
    </row>
    <row r="7" spans="1:21" x14ac:dyDescent="0.25">
      <c r="A7" t="s">
        <v>41</v>
      </c>
      <c r="B7">
        <v>6</v>
      </c>
      <c r="C7">
        <v>465</v>
      </c>
      <c r="D7" s="6">
        <f t="shared" si="3"/>
        <v>427.25</v>
      </c>
      <c r="E7" s="6">
        <f t="shared" si="4"/>
        <v>420</v>
      </c>
      <c r="F7" s="21">
        <f t="shared" si="5"/>
        <v>1.1071428571428572</v>
      </c>
      <c r="G7">
        <f t="shared" si="6"/>
        <v>420</v>
      </c>
      <c r="I7">
        <v>5</v>
      </c>
      <c r="J7">
        <f t="shared" si="0"/>
        <v>410.30167428939336</v>
      </c>
      <c r="K7" s="5">
        <f t="shared" si="1"/>
        <v>324.26488095238096</v>
      </c>
      <c r="L7" s="5">
        <f t="shared" si="2"/>
        <v>18.550595238095241</v>
      </c>
      <c r="M7">
        <f>M3</f>
        <v>0.98389473558883345</v>
      </c>
      <c r="O7">
        <f>($K$3+I7*$L$3)*M3</f>
        <v>410.30167428939336</v>
      </c>
      <c r="T7" t="s">
        <v>10</v>
      </c>
    </row>
    <row r="8" spans="1:21" ht="15.75" thickBot="1" x14ac:dyDescent="0.3">
      <c r="A8" t="s">
        <v>42</v>
      </c>
      <c r="B8">
        <v>7</v>
      </c>
      <c r="C8">
        <v>387</v>
      </c>
      <c r="D8" s="6">
        <f t="shared" si="3"/>
        <v>455</v>
      </c>
      <c r="E8" s="6">
        <f t="shared" si="4"/>
        <v>441.125</v>
      </c>
      <c r="F8" s="6">
        <f t="shared" si="5"/>
        <v>0.87730235194105977</v>
      </c>
      <c r="G8">
        <f t="shared" si="6"/>
        <v>441.125</v>
      </c>
      <c r="I8">
        <v>6</v>
      </c>
      <c r="J8">
        <f t="shared" si="0"/>
        <v>501.57427710289488</v>
      </c>
      <c r="K8" s="5">
        <f t="shared" si="1"/>
        <v>324.26488095238096</v>
      </c>
      <c r="L8" s="5">
        <f t="shared" si="2"/>
        <v>18.550595238095241</v>
      </c>
      <c r="M8">
        <f t="shared" ref="M8:M14" si="7">M4</f>
        <v>1.1515394982376115</v>
      </c>
      <c r="O8">
        <f>($K$3+I8*$L$3)*M4</f>
        <v>501.57427710289488</v>
      </c>
    </row>
    <row r="9" spans="1:21" x14ac:dyDescent="0.25">
      <c r="A9" t="s">
        <v>43</v>
      </c>
      <c r="B9">
        <v>8</v>
      </c>
      <c r="C9">
        <v>464</v>
      </c>
      <c r="D9" s="6">
        <f t="shared" si="3"/>
        <v>493.25</v>
      </c>
      <c r="E9" s="6">
        <f t="shared" si="4"/>
        <v>474.125</v>
      </c>
      <c r="F9" s="6">
        <f t="shared" si="5"/>
        <v>0.97864487213287632</v>
      </c>
      <c r="G9">
        <f t="shared" si="6"/>
        <v>474.125</v>
      </c>
      <c r="I9">
        <v>7</v>
      </c>
      <c r="J9">
        <f t="shared" si="0"/>
        <v>270.4204478243779</v>
      </c>
      <c r="K9" s="5">
        <f t="shared" si="1"/>
        <v>324.26488095238096</v>
      </c>
      <c r="L9" s="5">
        <f t="shared" si="2"/>
        <v>18.550595238095241</v>
      </c>
      <c r="M9">
        <f t="shared" si="7"/>
        <v>0.59548360554836</v>
      </c>
      <c r="O9">
        <f>($K$3+I9*$L$3)*M5</f>
        <v>270.4204478243779</v>
      </c>
      <c r="T9" s="4" t="s">
        <v>11</v>
      </c>
      <c r="U9" s="4"/>
    </row>
    <row r="10" spans="1:21" x14ac:dyDescent="0.25">
      <c r="A10" t="s">
        <v>44</v>
      </c>
      <c r="B10">
        <v>9</v>
      </c>
      <c r="C10">
        <v>504</v>
      </c>
      <c r="D10" s="6">
        <f t="shared" si="3"/>
        <v>507.25</v>
      </c>
      <c r="E10" s="6">
        <f t="shared" si="4"/>
        <v>500.25</v>
      </c>
      <c r="F10" s="13">
        <f t="shared" si="5"/>
        <v>1.0074962518740629</v>
      </c>
      <c r="G10">
        <f t="shared" si="6"/>
        <v>500.25000000000006</v>
      </c>
      <c r="I10">
        <v>8</v>
      </c>
      <c r="J10">
        <f t="shared" si="0"/>
        <v>469.75182506147439</v>
      </c>
      <c r="K10" s="5">
        <f t="shared" si="1"/>
        <v>324.26488095238096</v>
      </c>
      <c r="L10" s="5">
        <f t="shared" si="2"/>
        <v>18.550595238095241</v>
      </c>
      <c r="M10">
        <f t="shared" si="7"/>
        <v>0.99382694057094256</v>
      </c>
      <c r="O10">
        <f>($K$3+I10*$L$3)*M6</f>
        <v>469.75182506147439</v>
      </c>
      <c r="T10" s="1" t="s">
        <v>12</v>
      </c>
      <c r="U10" s="1">
        <v>0.97205537566094102</v>
      </c>
    </row>
    <row r="11" spans="1:21" x14ac:dyDescent="0.25">
      <c r="A11" t="s">
        <v>45</v>
      </c>
      <c r="B11">
        <v>10</v>
      </c>
      <c r="C11">
        <v>618</v>
      </c>
      <c r="D11" s="6">
        <f t="shared" si="3"/>
        <v>526.25</v>
      </c>
      <c r="E11" s="6">
        <f t="shared" si="4"/>
        <v>516.75</v>
      </c>
      <c r="F11" s="21">
        <f t="shared" si="5"/>
        <v>1.1959361393323658</v>
      </c>
      <c r="G11">
        <f t="shared" si="6"/>
        <v>516.75</v>
      </c>
      <c r="I11">
        <v>9</v>
      </c>
      <c r="J11">
        <f t="shared" si="0"/>
        <v>483.30900627659815</v>
      </c>
      <c r="K11" s="5">
        <f t="shared" si="1"/>
        <v>324.26488095238096</v>
      </c>
      <c r="L11" s="5">
        <f t="shared" si="2"/>
        <v>18.550595238095241</v>
      </c>
      <c r="M11">
        <f t="shared" si="7"/>
        <v>0.98389473558883345</v>
      </c>
      <c r="O11">
        <f>($K$3+I11*$L$3)*M3</f>
        <v>483.30900627659815</v>
      </c>
      <c r="T11" s="1" t="s">
        <v>13</v>
      </c>
      <c r="U11" s="1">
        <v>0.94489165335133307</v>
      </c>
    </row>
    <row r="12" spans="1:21" x14ac:dyDescent="0.25">
      <c r="A12" t="s">
        <v>46</v>
      </c>
      <c r="B12">
        <v>11</v>
      </c>
      <c r="C12">
        <v>443</v>
      </c>
      <c r="D12" s="6"/>
      <c r="E12" s="6"/>
      <c r="I12">
        <v>10</v>
      </c>
      <c r="J12">
        <f t="shared" si="0"/>
        <v>587.02124963283575</v>
      </c>
      <c r="K12" s="5">
        <f t="shared" si="1"/>
        <v>324.26488095238096</v>
      </c>
      <c r="L12" s="5">
        <f t="shared" si="2"/>
        <v>18.550595238095241</v>
      </c>
      <c r="M12">
        <f t="shared" si="7"/>
        <v>1.1515394982376115</v>
      </c>
      <c r="O12">
        <f>($K$3+I12*$L$3)*M4</f>
        <v>587.02124963283575</v>
      </c>
      <c r="T12" s="1" t="s">
        <v>14</v>
      </c>
      <c r="U12" s="1">
        <v>0.9357069289098886</v>
      </c>
    </row>
    <row r="13" spans="1:21" x14ac:dyDescent="0.25">
      <c r="A13" t="s">
        <v>47</v>
      </c>
      <c r="B13">
        <v>12</v>
      </c>
      <c r="C13">
        <v>540</v>
      </c>
      <c r="I13">
        <v>11</v>
      </c>
      <c r="J13">
        <f t="shared" si="0"/>
        <v>314.60674917417469</v>
      </c>
      <c r="K13" s="5">
        <f t="shared" si="1"/>
        <v>324.26488095238096</v>
      </c>
      <c r="L13" s="5">
        <f t="shared" si="2"/>
        <v>18.550595238095241</v>
      </c>
      <c r="M13">
        <f t="shared" si="7"/>
        <v>0.59548360554836</v>
      </c>
      <c r="O13">
        <f>($K$3+I13*$L$3)*M5</f>
        <v>314.60674917417469</v>
      </c>
      <c r="T13" s="1" t="s">
        <v>15</v>
      </c>
      <c r="U13" s="1">
        <v>11.852898187215985</v>
      </c>
    </row>
    <row r="14" spans="1:21" ht="15.75" thickBot="1" x14ac:dyDescent="0.3">
      <c r="A14" t="s">
        <v>53</v>
      </c>
      <c r="B14">
        <v>13</v>
      </c>
      <c r="I14">
        <v>12</v>
      </c>
      <c r="J14">
        <f t="shared" si="0"/>
        <v>543.49615030645873</v>
      </c>
      <c r="K14" s="5">
        <f t="shared" si="1"/>
        <v>324.26488095238096</v>
      </c>
      <c r="L14" s="5">
        <f t="shared" si="2"/>
        <v>18.550595238095241</v>
      </c>
      <c r="M14">
        <f t="shared" si="7"/>
        <v>0.99382694057094256</v>
      </c>
      <c r="O14">
        <f>($K$3+I14*$L$3)*M6</f>
        <v>543.49615030645873</v>
      </c>
      <c r="T14" s="2" t="s">
        <v>16</v>
      </c>
      <c r="U14" s="2">
        <v>8</v>
      </c>
    </row>
    <row r="15" spans="1:21" x14ac:dyDescent="0.25">
      <c r="G15">
        <f>(G33+G34*13)*AVERAGE(F6,F10)</f>
        <v>556.31633826380289</v>
      </c>
      <c r="K15" s="5"/>
      <c r="L15" s="5"/>
    </row>
    <row r="16" spans="1:21" ht="15.75" thickBot="1" x14ac:dyDescent="0.3">
      <c r="T16" t="s">
        <v>17</v>
      </c>
    </row>
    <row r="17" spans="6:28" x14ac:dyDescent="0.25">
      <c r="F17" t="s">
        <v>10</v>
      </c>
      <c r="T17" s="3"/>
      <c r="U17" s="3" t="s">
        <v>22</v>
      </c>
      <c r="V17" s="3" t="s">
        <v>23</v>
      </c>
      <c r="W17" s="3" t="s">
        <v>24</v>
      </c>
      <c r="X17" s="3" t="s">
        <v>25</v>
      </c>
      <c r="Y17" s="3" t="s">
        <v>26</v>
      </c>
    </row>
    <row r="18" spans="6:28" ht="15.75" thickBot="1" x14ac:dyDescent="0.3">
      <c r="F18"/>
      <c r="T18" s="1" t="s">
        <v>18</v>
      </c>
      <c r="U18" s="1">
        <v>1</v>
      </c>
      <c r="V18" s="1">
        <v>14453.232514880952</v>
      </c>
      <c r="W18" s="1">
        <v>14453.232514880952</v>
      </c>
      <c r="X18" s="1">
        <v>102.87642915966777</v>
      </c>
      <c r="Y18" s="1">
        <v>5.3418035005390807E-5</v>
      </c>
    </row>
    <row r="19" spans="6:28" x14ac:dyDescent="0.25">
      <c r="F19" s="4" t="s">
        <v>11</v>
      </c>
      <c r="G19" s="4"/>
      <c r="T19" s="1" t="s">
        <v>19</v>
      </c>
      <c r="U19" s="1">
        <v>6</v>
      </c>
      <c r="V19" s="1">
        <v>842.94717261904782</v>
      </c>
      <c r="W19" s="1">
        <v>140.49119543650798</v>
      </c>
      <c r="X19" s="1"/>
      <c r="Y19" s="1"/>
    </row>
    <row r="20" spans="6:28" ht="15.75" thickBot="1" x14ac:dyDescent="0.3">
      <c r="F20" s="1" t="s">
        <v>12</v>
      </c>
      <c r="G20" s="1">
        <v>0.97205537566094102</v>
      </c>
      <c r="T20" s="2" t="s">
        <v>20</v>
      </c>
      <c r="U20" s="2">
        <v>7</v>
      </c>
      <c r="V20" s="2">
        <v>15296.1796875</v>
      </c>
      <c r="W20" s="2"/>
      <c r="X20" s="2"/>
      <c r="Y20" s="2"/>
    </row>
    <row r="21" spans="6:28" ht="15.75" thickBot="1" x14ac:dyDescent="0.3">
      <c r="F21" s="1" t="s">
        <v>13</v>
      </c>
      <c r="G21" s="1">
        <v>0.94489165335133307</v>
      </c>
    </row>
    <row r="22" spans="6:28" x14ac:dyDescent="0.25">
      <c r="F22" s="1" t="s">
        <v>14</v>
      </c>
      <c r="G22" s="1">
        <v>0.9357069289098886</v>
      </c>
      <c r="T22" s="3"/>
      <c r="U22" s="3" t="s">
        <v>27</v>
      </c>
      <c r="V22" s="3" t="s">
        <v>15</v>
      </c>
      <c r="W22" s="3" t="s">
        <v>28</v>
      </c>
      <c r="X22" s="3" t="s">
        <v>29</v>
      </c>
      <c r="Y22" s="3" t="s">
        <v>30</v>
      </c>
      <c r="Z22" s="3" t="s">
        <v>31</v>
      </c>
      <c r="AA22" s="3" t="s">
        <v>32</v>
      </c>
      <c r="AB22" s="3" t="s">
        <v>33</v>
      </c>
    </row>
    <row r="23" spans="6:28" x14ac:dyDescent="0.25">
      <c r="F23" s="1" t="s">
        <v>15</v>
      </c>
      <c r="G23" s="1">
        <v>11.852898187215985</v>
      </c>
      <c r="T23" s="1" t="s">
        <v>21</v>
      </c>
      <c r="U23" s="1">
        <v>324.26488095238096</v>
      </c>
      <c r="V23" s="1">
        <v>12.605112136818338</v>
      </c>
      <c r="W23" s="1">
        <v>25.724870785181988</v>
      </c>
      <c r="X23" s="1">
        <v>2.2745413300492359E-7</v>
      </c>
      <c r="Y23" s="1">
        <v>293.42128267978887</v>
      </c>
      <c r="Z23" s="1">
        <v>355.10847922497305</v>
      </c>
      <c r="AA23" s="1">
        <v>293.42128267978887</v>
      </c>
      <c r="AB23" s="1">
        <v>355.10847922497305</v>
      </c>
    </row>
    <row r="24" spans="6:28" ht="15.75" thickBot="1" x14ac:dyDescent="0.3">
      <c r="F24" s="2" t="s">
        <v>16</v>
      </c>
      <c r="G24" s="2">
        <v>8</v>
      </c>
      <c r="T24" s="2" t="s">
        <v>34</v>
      </c>
      <c r="U24" s="2">
        <v>18.550595238095241</v>
      </c>
      <c r="V24" s="2">
        <v>1.828941897047033</v>
      </c>
      <c r="W24" s="2">
        <v>10.142801839712131</v>
      </c>
      <c r="X24" s="2">
        <v>5.3418035005390807E-5</v>
      </c>
      <c r="Y24" s="2">
        <v>14.075335635155293</v>
      </c>
      <c r="Z24" s="2">
        <v>23.025854841035191</v>
      </c>
      <c r="AA24" s="2">
        <v>14.075335635155293</v>
      </c>
      <c r="AB24" s="2">
        <v>23.025854841035191</v>
      </c>
    </row>
    <row r="25" spans="6:28" x14ac:dyDescent="0.25">
      <c r="F25"/>
    </row>
    <row r="26" spans="6:28" ht="15.75" thickBot="1" x14ac:dyDescent="0.3">
      <c r="F26" t="s">
        <v>17</v>
      </c>
    </row>
    <row r="27" spans="6:28" x14ac:dyDescent="0.25">
      <c r="F27" s="3"/>
      <c r="G27" s="3" t="s">
        <v>22</v>
      </c>
      <c r="H27" s="3" t="s">
        <v>23</v>
      </c>
      <c r="I27" s="3" t="s">
        <v>24</v>
      </c>
      <c r="J27" s="3" t="s">
        <v>26</v>
      </c>
    </row>
    <row r="28" spans="6:28" x14ac:dyDescent="0.25">
      <c r="F28" s="1" t="s">
        <v>18</v>
      </c>
      <c r="G28" s="1">
        <v>1</v>
      </c>
      <c r="H28" s="1">
        <v>14453.232514880952</v>
      </c>
      <c r="I28" s="1">
        <v>14453.232514880952</v>
      </c>
      <c r="J28" s="1">
        <v>5.3418035005390807E-5</v>
      </c>
    </row>
    <row r="29" spans="6:28" x14ac:dyDescent="0.25">
      <c r="F29" s="1" t="s">
        <v>19</v>
      </c>
      <c r="G29" s="1">
        <v>6</v>
      </c>
      <c r="H29" s="1">
        <v>842.94717261904782</v>
      </c>
      <c r="I29" s="1">
        <v>140.49119543650798</v>
      </c>
      <c r="J29" s="1"/>
    </row>
    <row r="30" spans="6:28" ht="15.75" thickBot="1" x14ac:dyDescent="0.3">
      <c r="F30" s="2" t="s">
        <v>20</v>
      </c>
      <c r="G30" s="2">
        <v>7</v>
      </c>
      <c r="H30" s="2">
        <v>15296.1796875</v>
      </c>
      <c r="I30" s="2"/>
      <c r="J30" s="2"/>
    </row>
    <row r="31" spans="6:28" ht="15.75" thickBot="1" x14ac:dyDescent="0.3">
      <c r="F31"/>
    </row>
    <row r="32" spans="6:28" x14ac:dyDescent="0.25">
      <c r="F32" s="3"/>
      <c r="G32" s="3" t="s">
        <v>27</v>
      </c>
      <c r="H32" s="3" t="s">
        <v>15</v>
      </c>
      <c r="I32" s="3" t="s">
        <v>28</v>
      </c>
      <c r="J32" s="3" t="s">
        <v>30</v>
      </c>
      <c r="K32" s="3" t="s">
        <v>31</v>
      </c>
      <c r="L32" s="3" t="s">
        <v>32</v>
      </c>
      <c r="M32" s="3" t="s">
        <v>33</v>
      </c>
    </row>
    <row r="33" spans="6:13" ht="21" x14ac:dyDescent="0.35">
      <c r="F33" s="1" t="s">
        <v>21</v>
      </c>
      <c r="G33" s="8">
        <v>324.26488095238096</v>
      </c>
      <c r="H33" s="1">
        <v>12.605112136818338</v>
      </c>
      <c r="I33" s="1">
        <v>25.724870785181988</v>
      </c>
      <c r="J33" s="1">
        <v>293.42128267978887</v>
      </c>
      <c r="K33" s="1">
        <v>355.10847922497305</v>
      </c>
      <c r="L33" s="1">
        <v>293.42128267978887</v>
      </c>
      <c r="M33" s="1">
        <v>355.10847922497305</v>
      </c>
    </row>
    <row r="34" spans="6:13" ht="21.75" thickBot="1" x14ac:dyDescent="0.4">
      <c r="F34" s="2" t="s">
        <v>34</v>
      </c>
      <c r="G34" s="9">
        <v>18.550595238095241</v>
      </c>
      <c r="H34" s="2">
        <v>1.828941897047033</v>
      </c>
      <c r="I34" s="2">
        <v>10.142801839712131</v>
      </c>
      <c r="J34" s="2">
        <v>14.075335635155293</v>
      </c>
      <c r="K34" s="2">
        <v>23.025854841035191</v>
      </c>
      <c r="L34" s="2">
        <v>14.075335635155293</v>
      </c>
      <c r="M34" s="2">
        <v>23.025854841035191</v>
      </c>
    </row>
    <row r="35" spans="6:13" x14ac:dyDescent="0.25">
      <c r="F35"/>
    </row>
    <row r="36" spans="6:13" x14ac:dyDescent="0.25">
      <c r="F36"/>
    </row>
    <row r="37" spans="6:13" x14ac:dyDescent="0.25">
      <c r="F37"/>
    </row>
    <row r="38" spans="6:13" ht="15.75" thickBot="1" x14ac:dyDescent="0.3">
      <c r="F38"/>
    </row>
    <row r="39" spans="6:13" x14ac:dyDescent="0.25">
      <c r="F39" s="4"/>
      <c r="G39" s="4"/>
    </row>
    <row r="40" spans="6:13" x14ac:dyDescent="0.25">
      <c r="F40" s="1"/>
      <c r="G40" s="1"/>
    </row>
    <row r="41" spans="6:13" x14ac:dyDescent="0.25">
      <c r="F41" s="1"/>
      <c r="G41" s="1"/>
    </row>
    <row r="42" spans="6:13" x14ac:dyDescent="0.25">
      <c r="F42" s="1"/>
      <c r="G42" s="1"/>
    </row>
    <row r="43" spans="6:13" x14ac:dyDescent="0.25">
      <c r="F43" s="1"/>
      <c r="G43" s="1"/>
    </row>
    <row r="44" spans="6:13" ht="15.75" thickBot="1" x14ac:dyDescent="0.3">
      <c r="F44" s="2"/>
      <c r="G44" s="2"/>
    </row>
    <row r="45" spans="6:13" x14ac:dyDescent="0.25">
      <c r="F45"/>
    </row>
    <row r="46" spans="6:13" ht="15.75" thickBot="1" x14ac:dyDescent="0.3">
      <c r="F46"/>
    </row>
    <row r="47" spans="6:13" x14ac:dyDescent="0.25">
      <c r="F47" s="3"/>
      <c r="G47" s="3"/>
      <c r="H47" s="3"/>
      <c r="I47" s="3"/>
      <c r="J47" s="3"/>
    </row>
    <row r="48" spans="6:13" x14ac:dyDescent="0.25">
      <c r="F48" s="1"/>
      <c r="G48" s="1"/>
      <c r="H48" s="1"/>
      <c r="I48" s="1"/>
      <c r="J48" s="1"/>
    </row>
    <row r="49" spans="6:13" x14ac:dyDescent="0.25">
      <c r="F49" s="1"/>
      <c r="G49" s="1"/>
      <c r="H49" s="1"/>
      <c r="I49" s="1"/>
      <c r="J49" s="1"/>
    </row>
    <row r="50" spans="6:13" ht="15.75" thickBot="1" x14ac:dyDescent="0.3">
      <c r="F50" s="2"/>
      <c r="G50" s="2"/>
      <c r="H50" s="2"/>
      <c r="I50" s="2"/>
      <c r="J50" s="2"/>
    </row>
    <row r="51" spans="6:13" ht="15.75" thickBot="1" x14ac:dyDescent="0.3">
      <c r="F51"/>
    </row>
    <row r="52" spans="6:13" x14ac:dyDescent="0.25">
      <c r="F52" s="3"/>
      <c r="G52" s="3"/>
      <c r="H52" s="3"/>
      <c r="I52" s="3"/>
      <c r="J52" s="3"/>
      <c r="K52" s="3"/>
      <c r="L52" s="3"/>
      <c r="M52" s="3"/>
    </row>
    <row r="53" spans="6:13" x14ac:dyDescent="0.25">
      <c r="F53" s="1"/>
      <c r="G53" s="1"/>
      <c r="H53" s="1"/>
      <c r="I53" s="1"/>
      <c r="J53" s="1"/>
      <c r="K53" s="1"/>
      <c r="L53" s="1"/>
      <c r="M53" s="1"/>
    </row>
    <row r="54" spans="6:13" ht="15.75" thickBot="1" x14ac:dyDescent="0.3">
      <c r="F54" s="2"/>
      <c r="G54" s="2"/>
      <c r="H54" s="2"/>
      <c r="I54" s="2"/>
      <c r="J54" s="2"/>
      <c r="K54" s="2"/>
      <c r="L54" s="2"/>
      <c r="M54" s="2"/>
    </row>
    <row r="55" spans="6:13" x14ac:dyDescent="0.25">
      <c r="F55"/>
    </row>
    <row r="56" spans="6:13" x14ac:dyDescent="0.25">
      <c r="F56"/>
    </row>
    <row r="57" spans="6:13" x14ac:dyDescent="0.25">
      <c r="F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Trend</vt:lpstr>
      <vt:lpstr>Seasonality (method 1)</vt:lpstr>
      <vt:lpstr>Seasonality (method 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kumar k.</dc:creator>
  <cp:lastModifiedBy>vinay kumar k.</cp:lastModifiedBy>
  <dcterms:created xsi:type="dcterms:W3CDTF">2017-09-28T08:22:08Z</dcterms:created>
  <dcterms:modified xsi:type="dcterms:W3CDTF">2019-01-10T11:41:22Z</dcterms:modified>
</cp:coreProperties>
</file>