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400" windowHeight="8055" activeTab="0"/>
  </bookViews>
  <sheets>
    <sheet name="Normal Demand separate firm" sheetId="1" r:id="rId1"/>
    <sheet name="Normal Demand integ firm" sheetId="2" r:id="rId2"/>
    <sheet name="Poisson Demand" sheetId="3" state="hidden" r:id="rId3"/>
    <sheet name="Functions" sheetId="4" state="hidden" r:id="rId4"/>
    <sheet name="Sheet1" sheetId="5" state="hidden" r:id="rId5"/>
    <sheet name="Buyback" sheetId="6" r:id="rId6"/>
    <sheet name="Buyback (2)" sheetId="7" r:id="rId7"/>
    <sheet name="Revenue Sharing" sheetId="8" r:id="rId8"/>
    <sheet name="Revenue Sharing (2)" sheetId="9" r:id="rId9"/>
  </sheets>
  <definedNames>
    <definedName name="_xlfn.NORM.INV" hidden="1">#NAME?</definedName>
  </definedNames>
  <calcPr fullCalcOnLoad="1"/>
</workbook>
</file>

<file path=xl/comments1.xml><?xml version="1.0" encoding="utf-8"?>
<comments xmlns="http://schemas.openxmlformats.org/spreadsheetml/2006/main">
  <authors>
    <author>Gerard Cachon</author>
  </authors>
  <commentList>
    <comment ref="E6" authorId="0">
      <text>
        <r>
          <rPr>
            <sz val="8"/>
            <rFont val="Tahoma"/>
            <family val="2"/>
          </rPr>
          <t xml:space="preserve">Evaluate different performance measures for any given order quantity. </t>
        </r>
      </text>
    </comment>
  </commentList>
</comments>
</file>

<file path=xl/comments2.xml><?xml version="1.0" encoding="utf-8"?>
<comments xmlns="http://schemas.openxmlformats.org/spreadsheetml/2006/main">
  <authors>
    <author>Gerard Cachon</author>
  </authors>
  <commentList>
    <comment ref="E6" authorId="0">
      <text>
        <r>
          <rPr>
            <sz val="8"/>
            <rFont val="Tahoma"/>
            <family val="2"/>
          </rPr>
          <t xml:space="preserve">Evaluate different performance measures for any given order quantity. </t>
        </r>
      </text>
    </comment>
  </commentList>
</comments>
</file>

<file path=xl/comments3.xml><?xml version="1.0" encoding="utf-8"?>
<comments xmlns="http://schemas.openxmlformats.org/spreadsheetml/2006/main">
  <authors>
    <author>Gerard Cachon</author>
  </authors>
  <commentList>
    <comment ref="E6" authorId="0">
      <text>
        <r>
          <rPr>
            <sz val="8"/>
            <rFont val="Tahoma"/>
            <family val="2"/>
          </rPr>
          <t xml:space="preserve">Evaluate different performance measures for any given order quantity. </t>
        </r>
      </text>
    </comment>
  </commentList>
</comments>
</file>

<file path=xl/comments6.xml><?xml version="1.0" encoding="utf-8"?>
<comments xmlns="http://schemas.openxmlformats.org/spreadsheetml/2006/main">
  <authors>
    <author>Gerard Cachon</author>
  </authors>
  <commentList>
    <comment ref="E6" authorId="0">
      <text>
        <r>
          <rPr>
            <sz val="8"/>
            <rFont val="Tahoma"/>
            <family val="2"/>
          </rPr>
          <t xml:space="preserve">Evaluate different performance measures for any given order quantity. </t>
        </r>
      </text>
    </comment>
  </commentList>
</comments>
</file>

<file path=xl/comments7.xml><?xml version="1.0" encoding="utf-8"?>
<comments xmlns="http://schemas.openxmlformats.org/spreadsheetml/2006/main">
  <authors>
    <author>Gerard Cachon</author>
  </authors>
  <commentList>
    <comment ref="E6" authorId="0">
      <text>
        <r>
          <rPr>
            <sz val="8"/>
            <rFont val="Tahoma"/>
            <family val="2"/>
          </rPr>
          <t xml:space="preserve">Evaluate different performance measures for any given order quantity. </t>
        </r>
      </text>
    </comment>
  </commentList>
</comments>
</file>

<file path=xl/comments8.xml><?xml version="1.0" encoding="utf-8"?>
<comments xmlns="http://schemas.openxmlformats.org/spreadsheetml/2006/main">
  <authors>
    <author>Gerard Cachon</author>
  </authors>
  <commentList>
    <comment ref="E6" authorId="0">
      <text>
        <r>
          <rPr>
            <sz val="8"/>
            <rFont val="Tahoma"/>
            <family val="2"/>
          </rPr>
          <t xml:space="preserve">Evaluate different performance measures for any given order quantity. </t>
        </r>
      </text>
    </comment>
  </commentList>
</comments>
</file>

<file path=xl/comments9.xml><?xml version="1.0" encoding="utf-8"?>
<comments xmlns="http://schemas.openxmlformats.org/spreadsheetml/2006/main">
  <authors>
    <author>Gerard Cachon</author>
  </authors>
  <commentList>
    <comment ref="E6" authorId="0">
      <text>
        <r>
          <rPr>
            <sz val="8"/>
            <rFont val="Tahoma"/>
            <family val="2"/>
          </rPr>
          <t xml:space="preserve">Evaluate different performance measures for any given order quantity. </t>
        </r>
      </text>
    </comment>
  </commentList>
</comments>
</file>

<file path=xl/sharedStrings.xml><?xml version="1.0" encoding="utf-8"?>
<sst xmlns="http://schemas.openxmlformats.org/spreadsheetml/2006/main" count="374" uniqueCount="109">
  <si>
    <r>
      <t xml:space="preserve">Expected Lost Sales, </t>
    </r>
    <r>
      <rPr>
        <i/>
        <sz val="10"/>
        <rFont val="Arial"/>
        <family val="2"/>
      </rPr>
      <t xml:space="preserve">L(Q) </t>
    </r>
    <r>
      <rPr>
        <sz val="10"/>
        <rFont val="Arial"/>
        <family val="2"/>
      </rPr>
      <t>:</t>
    </r>
  </si>
  <si>
    <r>
      <t xml:space="preserve">Expected Sales, </t>
    </r>
    <r>
      <rPr>
        <i/>
        <sz val="10"/>
        <rFont val="Arial"/>
        <family val="2"/>
      </rPr>
      <t>S(Q) :</t>
    </r>
  </si>
  <si>
    <t>Optimal Order Quantity</t>
  </si>
  <si>
    <t>Performance Measures</t>
  </si>
  <si>
    <r>
      <t xml:space="preserve">Order quantity, </t>
    </r>
    <r>
      <rPr>
        <i/>
        <sz val="10"/>
        <color indexed="10"/>
        <rFont val="Arial"/>
        <family val="2"/>
      </rPr>
      <t xml:space="preserve">Q </t>
    </r>
    <r>
      <rPr>
        <sz val="10"/>
        <color indexed="10"/>
        <rFont val="Arial"/>
        <family val="2"/>
      </rPr>
      <t>:</t>
    </r>
  </si>
  <si>
    <r>
      <t xml:space="preserve">Expected Left Over Inventory, </t>
    </r>
    <r>
      <rPr>
        <i/>
        <sz val="10"/>
        <rFont val="Arial"/>
        <family val="2"/>
      </rPr>
      <t>V(Q)</t>
    </r>
    <r>
      <rPr>
        <sz val="10"/>
        <rFont val="Arial"/>
        <family val="2"/>
      </rPr>
      <t xml:space="preserve"> :</t>
    </r>
  </si>
  <si>
    <r>
      <t xml:space="preserve">Fill rate,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 xml:space="preserve"> :</t>
    </r>
  </si>
  <si>
    <t>Stockout probability:</t>
  </si>
  <si>
    <t>Newsvendor model with Poisson distributed demand</t>
  </si>
  <si>
    <t>Q</t>
  </si>
  <si>
    <r>
      <t xml:space="preserve">Inputs are in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>, outputs in black</t>
    </r>
  </si>
  <si>
    <t>z</t>
  </si>
  <si>
    <t>Target fill rate</t>
  </si>
  <si>
    <t>Target lost sales</t>
  </si>
  <si>
    <r>
      <t xml:space="preserve">Overage penalty, </t>
    </r>
    <r>
      <rPr>
        <i/>
        <sz val="10"/>
        <color indexed="10"/>
        <rFont val="Arial"/>
        <family val="2"/>
      </rPr>
      <t>C</t>
    </r>
    <r>
      <rPr>
        <i/>
        <vertAlign val="subscript"/>
        <sz val="10"/>
        <color indexed="10"/>
        <rFont val="Arial"/>
        <family val="2"/>
      </rPr>
      <t>o</t>
    </r>
    <r>
      <rPr>
        <i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:</t>
    </r>
  </si>
  <si>
    <r>
      <t>Underage penalty,</t>
    </r>
    <r>
      <rPr>
        <i/>
        <sz val="10"/>
        <color indexed="10"/>
        <rFont val="Arial"/>
        <family val="2"/>
      </rPr>
      <t xml:space="preserve"> C</t>
    </r>
    <r>
      <rPr>
        <i/>
        <vertAlign val="subscript"/>
        <sz val="10"/>
        <color indexed="10"/>
        <rFont val="Arial"/>
        <family val="2"/>
      </rPr>
      <t>u</t>
    </r>
    <r>
      <rPr>
        <i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:</t>
    </r>
  </si>
  <si>
    <r>
      <t xml:space="preserve">Mean demand, 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2"/>
      </rPr>
      <t xml:space="preserve"> :</t>
    </r>
  </si>
  <si>
    <t>Newsvendor model with normally distributed demand</t>
  </si>
  <si>
    <r>
      <t xml:space="preserve">Standard deviation of demand, </t>
    </r>
    <r>
      <rPr>
        <sz val="10"/>
        <color indexed="10"/>
        <rFont val="Symbol"/>
        <family val="1"/>
      </rPr>
      <t>s</t>
    </r>
    <r>
      <rPr>
        <sz val="10"/>
        <color indexed="10"/>
        <rFont val="Arial"/>
        <family val="2"/>
      </rPr>
      <t xml:space="preserve"> :</t>
    </r>
  </si>
  <si>
    <r>
      <t xml:space="preserve">Critical ratio: 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u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/ (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o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+ 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u</t>
    </r>
    <r>
      <rPr>
        <sz val="10"/>
        <rFont val="Arial"/>
        <family val="2"/>
      </rPr>
      <t>)</t>
    </r>
  </si>
  <si>
    <r>
      <t xml:space="preserve">Standard Normal order quantity, </t>
    </r>
    <r>
      <rPr>
        <i/>
        <sz val="10"/>
        <rFont val="Arial"/>
        <family val="2"/>
      </rPr>
      <t xml:space="preserve">z </t>
    </r>
    <r>
      <rPr>
        <sz val="10"/>
        <rFont val="Arial"/>
        <family val="2"/>
      </rPr>
      <t>:</t>
    </r>
  </si>
  <si>
    <t>Maximum profit</t>
  </si>
  <si>
    <t>Mismatch cost</t>
  </si>
  <si>
    <t>Order Quantity to achieve a target fill rate</t>
  </si>
  <si>
    <t>Order quantity to achieve a target in-stock probability</t>
  </si>
  <si>
    <t>Target in-stock</t>
  </si>
  <si>
    <t>Expected profit</t>
  </si>
  <si>
    <t>Functions for evaluating the newsvendor and order up-to models</t>
  </si>
  <si>
    <t>lz(z)</t>
  </si>
  <si>
    <t>Return the standard normal loss function for the z-statistic z. Returns 4 significant digits.</t>
  </si>
  <si>
    <t xml:space="preserve">Phi(z ) </t>
  </si>
  <si>
    <t>Return Prob(D&lt;=z), where D is a standard normal. Returns 4 significant digits.</t>
  </si>
  <si>
    <t>loss_normal(q , mu , sigma )</t>
  </si>
  <si>
    <t>Return expected lost sales with a normal distribution</t>
  </si>
  <si>
    <t>loss_poisson(s, mu )</t>
  </si>
  <si>
    <t>Return expected lost sales with a Poisson distribution</t>
  </si>
  <si>
    <t>find_z(target)</t>
  </si>
  <si>
    <t>Return the z in the Standard Normal Distribution Function Table such that Phi(z) = target. Uses the round up rule.</t>
  </si>
  <si>
    <t>find_s_poisson(mu, target)</t>
  </si>
  <si>
    <t xml:space="preserve">Return the S in the Poisson Distribution Function Table such that F(S) = target. Uses the round-up rule. </t>
  </si>
  <si>
    <t xml:space="preserve">find_lz(target): </t>
  </si>
  <si>
    <t>Return the z in the Standard Normal Loss Function Table such that LZ(z) = target. Uses the round up rule.</t>
  </si>
  <si>
    <t>find_s_loss_poisson(mu , target )</t>
  </si>
  <si>
    <t xml:space="preserve">Return the S in the Poisson Loss Function Table such that L(S) = target. Uses the round-up rule. </t>
  </si>
  <si>
    <t>opt_order_normal(mu , sigma, co, cu)</t>
  </si>
  <si>
    <t>Return the quantity, Q, such that F(Q) = critical ratio = cu / (co+cu).</t>
  </si>
  <si>
    <t>sales(mu, loss)</t>
  </si>
  <si>
    <t>Return expected sales</t>
  </si>
  <si>
    <t>leftover(q , mu , loss )</t>
  </si>
  <si>
    <t>Return expected left over inventory</t>
  </si>
  <si>
    <t>profit(q , mu , loss , co , cu )</t>
  </si>
  <si>
    <t xml:space="preserve">Return expected profit </t>
  </si>
  <si>
    <t>fillrate(mu , loss )</t>
  </si>
  <si>
    <t>Return expected fill rate</t>
  </si>
  <si>
    <t>revenue(q , mu , loss , price , v )</t>
  </si>
  <si>
    <t>Return expected revenue</t>
  </si>
  <si>
    <t>Notation:</t>
  </si>
  <si>
    <t xml:space="preserve">q or s </t>
  </si>
  <si>
    <t>either an order quantity (q) or an order up-to level (s)</t>
  </si>
  <si>
    <t>mu</t>
  </si>
  <si>
    <t>mean of the distribution</t>
  </si>
  <si>
    <t xml:space="preserve">sigma </t>
  </si>
  <si>
    <t>standard deviation of the distribution</t>
  </si>
  <si>
    <t xml:space="preserve">z </t>
  </si>
  <si>
    <t>standard normal z-statistic</t>
  </si>
  <si>
    <t>co</t>
  </si>
  <si>
    <t>overage cost</t>
  </si>
  <si>
    <t xml:space="preserve">cu </t>
  </si>
  <si>
    <t>underage cost</t>
  </si>
  <si>
    <t>v</t>
  </si>
  <si>
    <t xml:space="preserve">salvage value </t>
  </si>
  <si>
    <t>Rahul's critical ratio</t>
  </si>
  <si>
    <t>Rahul should order</t>
  </si>
  <si>
    <t>Rahul stands to make</t>
  </si>
  <si>
    <t>Anjali charges</t>
  </si>
  <si>
    <t>Rahul would order</t>
  </si>
  <si>
    <t>Anjali would make</t>
  </si>
  <si>
    <t>Their critical ratio</t>
  </si>
  <si>
    <t>W</t>
  </si>
  <si>
    <t>Q(W)</t>
  </si>
  <si>
    <t>(W-M)I*(Q(W)</t>
  </si>
  <si>
    <t>They would order</t>
  </si>
  <si>
    <t>They stand to make</t>
  </si>
  <si>
    <t xml:space="preserve">Price </t>
  </si>
  <si>
    <t>Wholesale price</t>
  </si>
  <si>
    <t>Salvage cost</t>
  </si>
  <si>
    <t>If they were together</t>
  </si>
  <si>
    <t>Revenue Sharing</t>
  </si>
  <si>
    <t>Price</t>
  </si>
  <si>
    <t>Revenue share</t>
  </si>
  <si>
    <t>Buyback Model</t>
  </si>
  <si>
    <t>Two part tariff</t>
  </si>
  <si>
    <t>Rahul would make</t>
  </si>
  <si>
    <t>R</t>
  </si>
  <si>
    <t>S</t>
  </si>
  <si>
    <t>M</t>
  </si>
  <si>
    <t>Production cost</t>
  </si>
  <si>
    <t>Retail price</t>
  </si>
  <si>
    <t>Salvage price</t>
  </si>
  <si>
    <t>Contract Parameters</t>
  </si>
  <si>
    <r>
      <t xml:space="preserve">Fill rate, </t>
    </r>
    <r>
      <rPr>
        <i/>
        <sz val="10"/>
        <color indexed="9"/>
        <rFont val="Arial"/>
        <family val="2"/>
      </rPr>
      <t>f</t>
    </r>
    <r>
      <rPr>
        <sz val="10"/>
        <color indexed="9"/>
        <rFont val="Arial"/>
        <family val="2"/>
      </rPr>
      <t xml:space="preserve"> :</t>
    </r>
  </si>
  <si>
    <t>Supplier's profit</t>
  </si>
  <si>
    <t>Buyback cost</t>
  </si>
  <si>
    <t>B</t>
  </si>
  <si>
    <t>total</t>
  </si>
  <si>
    <t>Cu</t>
  </si>
  <si>
    <t>New Ratio</t>
  </si>
  <si>
    <t>Supplier profit ratio</t>
  </si>
  <si>
    <t>Supplier's profit ratio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</si>
</sst>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%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"/>
    <numFmt numFmtId="184" formatCode="0.0000000"/>
    <numFmt numFmtId="185" formatCode="0.00000000"/>
    <numFmt numFmtId="186" formatCode="0.000000"/>
    <numFmt numFmtId="187" formatCode="0.000%"/>
    <numFmt numFmtId="188" formatCode="0.0000%"/>
    <numFmt numFmtId="189" formatCode="_____00000"/>
  </numFmts>
  <fonts count="56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vertAlign val="subscript"/>
      <sz val="10"/>
      <color indexed="10"/>
      <name val="Arial"/>
      <family val="2"/>
    </font>
    <font>
      <sz val="10"/>
      <color indexed="10"/>
      <name val="Symbol"/>
      <family val="1"/>
    </font>
    <font>
      <i/>
      <vertAlign val="subscript"/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0" borderId="0" xfId="59" applyNumberForma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/>
    </xf>
    <xf numFmtId="175" fontId="0" fillId="0" borderId="0" xfId="59" applyNumberFormat="1" applyFon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" fontId="0" fillId="0" borderId="0" xfId="59" applyNumberFormat="1" applyFont="1" applyBorder="1" applyAlignment="1">
      <alignment/>
    </xf>
    <xf numFmtId="17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Alignment="1">
      <alignment/>
    </xf>
    <xf numFmtId="2" fontId="11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73" fontId="54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9" fontId="54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10" fontId="54" fillId="0" borderId="0" xfId="59" applyNumberFormat="1" applyFont="1" applyAlignment="1">
      <alignment/>
    </xf>
    <xf numFmtId="17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L34"/>
  <sheetViews>
    <sheetView showGridLines="0" tabSelected="1" zoomScale="130" zoomScaleNormal="130" zoomScalePageLayoutView="0" workbookViewId="0" topLeftCell="A1">
      <selection activeCell="E13" sqref="E13"/>
    </sheetView>
  </sheetViews>
  <sheetFormatPr defaultColWidth="9.140625" defaultRowHeight="12.75"/>
  <cols>
    <col min="1" max="1" width="30.7109375" style="0" customWidth="1"/>
    <col min="2" max="2" width="13.00390625" style="0" customWidth="1"/>
    <col min="3" max="3" width="5.7109375" style="0" customWidth="1"/>
    <col min="4" max="4" width="5.57421875" style="0" customWidth="1"/>
    <col min="5" max="5" width="30.8515625" style="0" customWidth="1"/>
    <col min="6" max="6" width="9.57421875" style="0" bestFit="1" customWidth="1"/>
    <col min="7" max="7" width="12.8515625" style="0" bestFit="1" customWidth="1"/>
  </cols>
  <sheetData>
    <row r="1" spans="1:6" ht="18.75" thickBot="1">
      <c r="A1" s="19" t="s">
        <v>17</v>
      </c>
      <c r="B1" s="20"/>
      <c r="C1" s="20"/>
      <c r="D1" s="20"/>
      <c r="E1" s="20"/>
      <c r="F1" s="20"/>
    </row>
    <row r="2" ht="13.5" thickTop="1">
      <c r="A2" t="s">
        <v>10</v>
      </c>
    </row>
    <row r="3" spans="1:8" ht="12.75">
      <c r="A3" s="3" t="s">
        <v>16</v>
      </c>
      <c r="B3" s="3">
        <v>250</v>
      </c>
      <c r="F3" s="14"/>
      <c r="G3" s="14"/>
      <c r="H3" s="2" t="s">
        <v>99</v>
      </c>
    </row>
    <row r="4" spans="1:2" ht="12.75">
      <c r="A4" s="3" t="s">
        <v>18</v>
      </c>
      <c r="B4" s="3">
        <v>125</v>
      </c>
    </row>
    <row r="5" spans="6:10" ht="12.75">
      <c r="F5" s="3"/>
      <c r="G5" s="3"/>
      <c r="H5" s="2" t="s">
        <v>93</v>
      </c>
      <c r="I5">
        <v>115</v>
      </c>
      <c r="J5" s="2" t="s">
        <v>97</v>
      </c>
    </row>
    <row r="6" spans="1:10" ht="12.75">
      <c r="A6" s="18" t="s">
        <v>2</v>
      </c>
      <c r="B6" s="6"/>
      <c r="E6" s="18" t="s">
        <v>3</v>
      </c>
      <c r="F6" s="6"/>
      <c r="H6" s="2" t="s">
        <v>78</v>
      </c>
      <c r="I6">
        <v>75</v>
      </c>
      <c r="J6" s="2" t="s">
        <v>84</v>
      </c>
    </row>
    <row r="7" spans="1:10" ht="15.75">
      <c r="A7" s="3" t="s">
        <v>14</v>
      </c>
      <c r="B7" s="3">
        <f>I6-I7</f>
        <v>50</v>
      </c>
      <c r="E7" s="3" t="s">
        <v>4</v>
      </c>
      <c r="F7" s="9">
        <f>B11</f>
        <v>233.75</v>
      </c>
      <c r="H7" s="2" t="s">
        <v>94</v>
      </c>
      <c r="I7">
        <v>25</v>
      </c>
      <c r="J7" s="2" t="s">
        <v>98</v>
      </c>
    </row>
    <row r="8" spans="1:10" ht="15.75">
      <c r="A8" s="3" t="s">
        <v>15</v>
      </c>
      <c r="B8" s="3">
        <f>I5-I6</f>
        <v>40</v>
      </c>
      <c r="E8" t="s">
        <v>20</v>
      </c>
      <c r="F8" s="16">
        <f>ROUND((F7-B3)/B4,2)</f>
        <v>-0.13</v>
      </c>
      <c r="H8" s="2" t="s">
        <v>95</v>
      </c>
      <c r="I8">
        <v>35</v>
      </c>
      <c r="J8" s="2" t="s">
        <v>96</v>
      </c>
    </row>
    <row r="9" spans="1:6" ht="15.75">
      <c r="A9" s="2" t="s">
        <v>19</v>
      </c>
      <c r="B9" s="1">
        <f>ROUND(B8/(B7+B8),4)</f>
        <v>0.4444</v>
      </c>
      <c r="E9" t="s">
        <v>0</v>
      </c>
      <c r="F9" s="16">
        <f>B4*(NORMDIST(F8,0,1,0)-F8*(1-NORMSDIST((F8))))</f>
        <v>58.413575387847544</v>
      </c>
    </row>
    <row r="10" spans="1:6" ht="12.75">
      <c r="A10" t="s">
        <v>11</v>
      </c>
      <c r="B10" s="16">
        <f>find_z(B9)</f>
        <v>-0.13</v>
      </c>
      <c r="E10" t="s">
        <v>1</v>
      </c>
      <c r="F10" s="16">
        <f>B3-F9</f>
        <v>191.58642461215246</v>
      </c>
    </row>
    <row r="11" spans="1:7" ht="12.75">
      <c r="A11" t="s">
        <v>9</v>
      </c>
      <c r="B11" s="16">
        <f>B3+B4*B10</f>
        <v>233.75</v>
      </c>
      <c r="E11" t="s">
        <v>5</v>
      </c>
      <c r="F11" s="16">
        <f>F7-F10</f>
        <v>42.163575387847544</v>
      </c>
      <c r="G11" s="12"/>
    </row>
    <row r="12" spans="5:11" ht="12.75">
      <c r="E12" s="36" t="s">
        <v>100</v>
      </c>
      <c r="F12" s="39">
        <f>F10/B3</f>
        <v>0.7663456984486098</v>
      </c>
      <c r="I12" s="8">
        <f>F7*(-I6)</f>
        <v>-17531.25</v>
      </c>
      <c r="K12">
        <f>B4*(NORMDIST(F8,0,1,0))</f>
        <v>49.44817760471092</v>
      </c>
    </row>
    <row r="13" spans="1:11" ht="12.75">
      <c r="A13" s="31" t="s">
        <v>24</v>
      </c>
      <c r="B13" s="32"/>
      <c r="C13" s="32"/>
      <c r="D13" s="21"/>
      <c r="E13" t="s">
        <v>7</v>
      </c>
      <c r="F13" s="7">
        <f>1-NORMSDIST(F8)</f>
        <v>0.5517167866545611</v>
      </c>
      <c r="K13">
        <f>NORMSDIST((F8))</f>
        <v>0.44828321334543886</v>
      </c>
    </row>
    <row r="14" spans="1:64" ht="12.75">
      <c r="A14" s="33" t="s">
        <v>25</v>
      </c>
      <c r="B14" s="33">
        <v>0.95</v>
      </c>
      <c r="C14" s="34"/>
      <c r="D14" s="22"/>
      <c r="I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" ht="15.75">
      <c r="A15" s="33" t="s">
        <v>11</v>
      </c>
      <c r="B15" s="35">
        <f>find_z(B14)</f>
        <v>1.65</v>
      </c>
      <c r="C15" s="36"/>
      <c r="D15" s="21"/>
      <c r="E15" s="3" t="s">
        <v>14</v>
      </c>
      <c r="F15" s="3">
        <f>B7</f>
        <v>50</v>
      </c>
    </row>
    <row r="16" spans="1:64" ht="15.75">
      <c r="A16" s="36" t="s">
        <v>9</v>
      </c>
      <c r="B16" s="36">
        <f>$B$3+B15*$B$4</f>
        <v>456.25</v>
      </c>
      <c r="C16" s="33"/>
      <c r="D16" s="23"/>
      <c r="E16" s="3" t="s">
        <v>15</v>
      </c>
      <c r="F16" s="3">
        <f>B8</f>
        <v>40</v>
      </c>
      <c r="H16" s="2" t="s">
        <v>101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>
      <c r="A17" s="36"/>
      <c r="B17" s="36"/>
      <c r="C17" s="33"/>
      <c r="D17" s="21"/>
      <c r="E17" t="s">
        <v>26</v>
      </c>
      <c r="F17" s="30">
        <f>F16*F10-F15*F11</f>
        <v>5555.278215093721</v>
      </c>
      <c r="G17" s="12"/>
      <c r="H17">
        <f>F7*I6-I8*F7</f>
        <v>9350</v>
      </c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31" t="s">
        <v>23</v>
      </c>
      <c r="B18" s="32"/>
      <c r="C18" s="32"/>
      <c r="D18" s="21"/>
      <c r="E18" s="36" t="s">
        <v>21</v>
      </c>
      <c r="F18" s="35">
        <f>F16*B3</f>
        <v>10000</v>
      </c>
      <c r="G18" s="12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36" t="s">
        <v>12</v>
      </c>
      <c r="B19" s="37">
        <v>0.99</v>
      </c>
      <c r="C19" s="38"/>
      <c r="D19" s="21"/>
      <c r="E19" s="36" t="s">
        <v>22</v>
      </c>
      <c r="F19" s="35">
        <f>ROUND(F9*F16+F15*F11,2)</f>
        <v>4444.72</v>
      </c>
      <c r="G19" s="12"/>
      <c r="H19" s="1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36" t="s">
        <v>13</v>
      </c>
      <c r="B20" s="36">
        <f>ROUND(B3*(1-B19)/B4,4)</f>
        <v>0.02</v>
      </c>
      <c r="C20" s="38"/>
      <c r="D20" s="21"/>
      <c r="E20" s="21"/>
      <c r="F20" s="8"/>
      <c r="G20" s="8"/>
      <c r="H20" s="10"/>
      <c r="I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8" ht="12.75">
      <c r="A21" s="36" t="s">
        <v>11</v>
      </c>
      <c r="B21" s="36">
        <f>find_lz(B20)</f>
        <v>1.67</v>
      </c>
      <c r="C21" s="33"/>
      <c r="D21" s="1"/>
      <c r="F21" s="7"/>
      <c r="G21" s="7"/>
      <c r="H21" s="7"/>
    </row>
    <row r="22" spans="1:8" ht="12.75">
      <c r="A22" s="36" t="s">
        <v>9</v>
      </c>
      <c r="B22" s="36">
        <f>$B$3+B21*$B$4</f>
        <v>458.75</v>
      </c>
      <c r="C22" s="33"/>
      <c r="D22" s="1"/>
      <c r="F22" s="7"/>
      <c r="G22" s="7"/>
      <c r="H22" s="7"/>
    </row>
    <row r="23" spans="6:7" ht="12.75">
      <c r="F23" s="11"/>
      <c r="G23" s="11"/>
    </row>
    <row r="30" spans="2:7" ht="12.75">
      <c r="B30" s="13"/>
      <c r="F30" s="13"/>
      <c r="G30" s="13"/>
    </row>
    <row r="33" ht="12.75">
      <c r="F33" s="15"/>
    </row>
    <row r="34" ht="12.75">
      <c r="F34" s="1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L34"/>
  <sheetViews>
    <sheetView showGridLines="0" zoomScale="145" zoomScaleNormal="145" zoomScalePageLayoutView="0" workbookViewId="0" topLeftCell="A3">
      <selection activeCell="B11" sqref="B11"/>
    </sheetView>
  </sheetViews>
  <sheetFormatPr defaultColWidth="9.140625" defaultRowHeight="12.75"/>
  <cols>
    <col min="1" max="1" width="30.7109375" style="0" customWidth="1"/>
    <col min="2" max="2" width="13.00390625" style="0" customWidth="1"/>
    <col min="3" max="3" width="5.7109375" style="0" customWidth="1"/>
    <col min="4" max="4" width="5.57421875" style="0" customWidth="1"/>
    <col min="5" max="5" width="30.8515625" style="0" customWidth="1"/>
    <col min="6" max="6" width="10.8515625" style="0" bestFit="1" customWidth="1"/>
    <col min="7" max="7" width="12.8515625" style="0" bestFit="1" customWidth="1"/>
  </cols>
  <sheetData>
    <row r="1" spans="1:6" ht="18.75" thickBot="1">
      <c r="A1" s="19" t="s">
        <v>17</v>
      </c>
      <c r="B1" s="20"/>
      <c r="C1" s="20"/>
      <c r="D1" s="20"/>
      <c r="E1" s="20"/>
      <c r="F1" s="20"/>
    </row>
    <row r="2" ht="13.5" thickTop="1">
      <c r="A2" t="s">
        <v>10</v>
      </c>
    </row>
    <row r="3" spans="1:8" ht="12.75">
      <c r="A3" s="3" t="s">
        <v>16</v>
      </c>
      <c r="B3" s="3">
        <v>250</v>
      </c>
      <c r="F3" s="14"/>
      <c r="G3" s="14"/>
      <c r="H3" s="2" t="s">
        <v>99</v>
      </c>
    </row>
    <row r="4" spans="1:2" ht="12.75">
      <c r="A4" s="3" t="s">
        <v>18</v>
      </c>
      <c r="B4" s="3">
        <v>125</v>
      </c>
    </row>
    <row r="5" spans="6:10" ht="12.75">
      <c r="F5" s="3"/>
      <c r="G5" s="3"/>
      <c r="H5" s="2" t="s">
        <v>93</v>
      </c>
      <c r="I5">
        <v>115</v>
      </c>
      <c r="J5" s="2" t="s">
        <v>97</v>
      </c>
    </row>
    <row r="6" spans="1:10" ht="12.75">
      <c r="A6" s="18" t="s">
        <v>2</v>
      </c>
      <c r="B6" s="6"/>
      <c r="E6" s="18" t="s">
        <v>3</v>
      </c>
      <c r="F6" s="6"/>
      <c r="H6" s="2" t="s">
        <v>78</v>
      </c>
      <c r="I6">
        <f>I8</f>
        <v>35</v>
      </c>
      <c r="J6" s="2" t="s">
        <v>84</v>
      </c>
    </row>
    <row r="7" spans="1:10" ht="15.75">
      <c r="A7" s="3" t="s">
        <v>14</v>
      </c>
      <c r="B7" s="3">
        <f>I6-I7</f>
        <v>10</v>
      </c>
      <c r="E7" s="3" t="s">
        <v>4</v>
      </c>
      <c r="F7" s="9">
        <f>B11</f>
        <v>403.75</v>
      </c>
      <c r="H7" s="2" t="s">
        <v>94</v>
      </c>
      <c r="I7">
        <v>25</v>
      </c>
      <c r="J7" s="2" t="s">
        <v>98</v>
      </c>
    </row>
    <row r="8" spans="1:10" ht="15.75">
      <c r="A8" s="3" t="s">
        <v>15</v>
      </c>
      <c r="B8" s="3">
        <f>I5-I6</f>
        <v>80</v>
      </c>
      <c r="E8" t="s">
        <v>20</v>
      </c>
      <c r="F8" s="16">
        <f>ROUND((F7-B3)/B4,2)</f>
        <v>1.23</v>
      </c>
      <c r="H8" s="2" t="s">
        <v>95</v>
      </c>
      <c r="I8">
        <v>35</v>
      </c>
      <c r="J8" s="2" t="s">
        <v>96</v>
      </c>
    </row>
    <row r="9" spans="1:6" ht="15.75">
      <c r="A9" s="2" t="s">
        <v>19</v>
      </c>
      <c r="B9" s="1">
        <f>ROUND(B8/(B7+B8),4)</f>
        <v>0.8889</v>
      </c>
      <c r="E9" t="s">
        <v>0</v>
      </c>
      <c r="F9" s="16">
        <f>B4*(NORMDIST(F8,0,1,0)-F8*(1-NORMSDIST((F8))))</f>
        <v>6.592087335891072</v>
      </c>
    </row>
    <row r="10" spans="1:6" ht="12.75">
      <c r="A10" t="s">
        <v>11</v>
      </c>
      <c r="B10" s="16">
        <f>find_z(B9)</f>
        <v>1.23</v>
      </c>
      <c r="E10" t="s">
        <v>1</v>
      </c>
      <c r="F10" s="16">
        <f>B3-F9</f>
        <v>243.40791266410892</v>
      </c>
    </row>
    <row r="11" spans="1:7" ht="12.75">
      <c r="A11" t="s">
        <v>9</v>
      </c>
      <c r="B11" s="16">
        <f>B3+B4*B10</f>
        <v>403.75</v>
      </c>
      <c r="E11" t="s">
        <v>5</v>
      </c>
      <c r="F11" s="16">
        <f>F7-F10</f>
        <v>160.34208733589108</v>
      </c>
      <c r="G11" s="12"/>
    </row>
    <row r="12" spans="5:6" ht="12.75">
      <c r="E12" s="36" t="s">
        <v>100</v>
      </c>
      <c r="F12" s="39">
        <f>F10/B3</f>
        <v>0.9736316506564356</v>
      </c>
    </row>
    <row r="13" spans="1:6" ht="12.75">
      <c r="A13" s="31" t="s">
        <v>24</v>
      </c>
      <c r="B13" s="32"/>
      <c r="C13" s="32"/>
      <c r="D13" s="21"/>
      <c r="E13" t="s">
        <v>7</v>
      </c>
      <c r="F13" s="7">
        <f>1-NORMSDIST(F8)</f>
        <v>0.10934855242569186</v>
      </c>
    </row>
    <row r="14" spans="1:64" ht="12.75">
      <c r="A14" s="33" t="s">
        <v>25</v>
      </c>
      <c r="B14" s="33">
        <v>0.95</v>
      </c>
      <c r="C14" s="34"/>
      <c r="D14" s="22"/>
      <c r="I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" ht="15.75">
      <c r="A15" s="33" t="s">
        <v>11</v>
      </c>
      <c r="B15" s="35">
        <f>find_z(B14)</f>
        <v>1.65</v>
      </c>
      <c r="C15" s="36"/>
      <c r="D15" s="21"/>
      <c r="E15" s="3" t="s">
        <v>14</v>
      </c>
      <c r="F15" s="3">
        <f>B7</f>
        <v>10</v>
      </c>
    </row>
    <row r="16" spans="1:64" ht="15.75">
      <c r="A16" s="36" t="s">
        <v>9</v>
      </c>
      <c r="B16" s="36">
        <f>$B$3+B15*$B$4</f>
        <v>456.25</v>
      </c>
      <c r="C16" s="33"/>
      <c r="D16" s="23"/>
      <c r="E16" s="3" t="s">
        <v>15</v>
      </c>
      <c r="F16" s="3">
        <f>B8</f>
        <v>80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>
      <c r="A17" s="36"/>
      <c r="B17" s="36"/>
      <c r="C17" s="33"/>
      <c r="D17" s="21"/>
      <c r="E17" t="s">
        <v>26</v>
      </c>
      <c r="F17" s="30">
        <f>F16*F10-F15*F11</f>
        <v>17869.212139769803</v>
      </c>
      <c r="G17" s="12"/>
      <c r="H17" s="1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31" t="s">
        <v>23</v>
      </c>
      <c r="B18" s="32"/>
      <c r="C18" s="32"/>
      <c r="D18" s="21"/>
      <c r="E18" t="s">
        <v>21</v>
      </c>
      <c r="F18" s="16">
        <f>F16*B3</f>
        <v>20000</v>
      </c>
      <c r="G18" s="12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36" t="s">
        <v>12</v>
      </c>
      <c r="B19" s="37">
        <v>0.99</v>
      </c>
      <c r="C19" s="38"/>
      <c r="D19" s="21"/>
      <c r="E19" t="s">
        <v>22</v>
      </c>
      <c r="F19" s="16">
        <f>ROUND(F9*F16+F15*F11,2)</f>
        <v>2130.79</v>
      </c>
      <c r="G19" s="12"/>
      <c r="H19" s="1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36" t="s">
        <v>13</v>
      </c>
      <c r="B20" s="36">
        <f>ROUND(B3*(1-B19)/B4,4)</f>
        <v>0.02</v>
      </c>
      <c r="C20" s="38"/>
      <c r="D20" s="21"/>
      <c r="E20" s="21"/>
      <c r="F20" s="8"/>
      <c r="G20" s="8"/>
      <c r="H20" s="10"/>
      <c r="I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8" ht="12.75">
      <c r="A21" s="36" t="s">
        <v>11</v>
      </c>
      <c r="B21" s="36">
        <f>find_lz(B20)</f>
        <v>1.67</v>
      </c>
      <c r="C21" s="33"/>
      <c r="D21" s="1"/>
      <c r="F21" s="7"/>
      <c r="G21" s="7"/>
      <c r="H21" s="7"/>
    </row>
    <row r="22" spans="1:8" ht="12.75">
      <c r="A22" s="36" t="s">
        <v>9</v>
      </c>
      <c r="B22" s="36">
        <f>$B$3+B21*$B$4</f>
        <v>458.75</v>
      </c>
      <c r="C22" s="33"/>
      <c r="D22" s="1"/>
      <c r="F22" s="7"/>
      <c r="G22" s="7"/>
      <c r="H22" s="7"/>
    </row>
    <row r="23" spans="6:7" ht="12.75">
      <c r="F23" s="11"/>
      <c r="G23" s="11"/>
    </row>
    <row r="30" spans="2:7" ht="12.75">
      <c r="B30" s="13"/>
      <c r="F30" s="13"/>
      <c r="G30" s="13"/>
    </row>
    <row r="33" ht="12.75">
      <c r="F33" s="15"/>
    </row>
    <row r="34" ht="12.75">
      <c r="F34" s="1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2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33.57421875" style="0" customWidth="1"/>
    <col min="2" max="2" width="9.8515625" style="0" customWidth="1"/>
    <col min="3" max="3" width="5.57421875" style="0" customWidth="1"/>
    <col min="4" max="4" width="4.28125" style="0" customWidth="1"/>
    <col min="5" max="5" width="30.00390625" style="0" customWidth="1"/>
    <col min="6" max="6" width="10.57421875" style="0" customWidth="1"/>
  </cols>
  <sheetData>
    <row r="1" spans="1:7" ht="18">
      <c r="A1" s="5" t="s">
        <v>8</v>
      </c>
      <c r="B1" s="6"/>
      <c r="C1" s="6"/>
      <c r="D1" s="6"/>
      <c r="E1" s="6"/>
      <c r="F1" s="6"/>
      <c r="G1" s="21"/>
    </row>
    <row r="2" ht="12.75">
      <c r="A2" t="s">
        <v>10</v>
      </c>
    </row>
    <row r="3" spans="1:7" ht="12.75">
      <c r="A3" s="3" t="s">
        <v>16</v>
      </c>
      <c r="B3" s="3">
        <v>9</v>
      </c>
      <c r="F3" s="14"/>
      <c r="G3" s="14"/>
    </row>
    <row r="4" spans="1:2" ht="12.75">
      <c r="A4" s="3"/>
      <c r="B4" s="3"/>
    </row>
    <row r="5" spans="6:7" ht="12.75">
      <c r="F5" s="3"/>
      <c r="G5" s="3"/>
    </row>
    <row r="6" spans="1:6" ht="12.75">
      <c r="A6" s="18" t="s">
        <v>2</v>
      </c>
      <c r="B6" s="6"/>
      <c r="E6" s="18" t="s">
        <v>3</v>
      </c>
      <c r="F6" s="6"/>
    </row>
    <row r="7" spans="1:6" ht="15.75">
      <c r="A7" s="3" t="s">
        <v>14</v>
      </c>
      <c r="B7" s="3">
        <v>0.05</v>
      </c>
      <c r="E7" s="3" t="s">
        <v>4</v>
      </c>
      <c r="F7" s="9">
        <v>8</v>
      </c>
    </row>
    <row r="8" spans="1:6" ht="15.75">
      <c r="A8" s="3" t="s">
        <v>15</v>
      </c>
      <c r="B8" s="3">
        <v>0.35</v>
      </c>
      <c r="E8" t="s">
        <v>0</v>
      </c>
      <c r="F8" s="16">
        <f>loss_poisson(F7,B3)</f>
        <v>1.7301481557632845</v>
      </c>
    </row>
    <row r="9" spans="1:6" ht="15.75">
      <c r="A9" s="2" t="s">
        <v>19</v>
      </c>
      <c r="B9" s="1">
        <f>ROUND(B8/(B7+B8),4)</f>
        <v>0.875</v>
      </c>
      <c r="E9" t="s">
        <v>1</v>
      </c>
      <c r="F9" s="16">
        <f>B3-F8</f>
        <v>7.269851844236715</v>
      </c>
    </row>
    <row r="10" spans="1:7" ht="12.75">
      <c r="A10" t="s">
        <v>9</v>
      </c>
      <c r="B10" s="16">
        <f>find_s_poisson(B3,B9)</f>
        <v>12</v>
      </c>
      <c r="E10" t="s">
        <v>5</v>
      </c>
      <c r="F10" s="16">
        <f>F7-F9</f>
        <v>0.7301481557632847</v>
      </c>
      <c r="G10" s="1"/>
    </row>
    <row r="11" spans="5:7" ht="12.75">
      <c r="E11" t="s">
        <v>6</v>
      </c>
      <c r="F11" s="7">
        <f>F9/B3</f>
        <v>0.8077613160263017</v>
      </c>
      <c r="G11" s="12"/>
    </row>
    <row r="12" spans="1:6" ht="12.75">
      <c r="A12" s="18" t="s">
        <v>24</v>
      </c>
      <c r="B12" s="6"/>
      <c r="C12" s="6"/>
      <c r="D12" s="21"/>
      <c r="E12" t="s">
        <v>7</v>
      </c>
      <c r="F12" s="7">
        <f>POISSON(F7,B3,1)</f>
        <v>0.45565260432241883</v>
      </c>
    </row>
    <row r="13" spans="1:4" ht="12.75">
      <c r="A13" s="4" t="s">
        <v>25</v>
      </c>
      <c r="B13" s="4">
        <v>0.95</v>
      </c>
      <c r="C13" s="9"/>
      <c r="D13" s="22"/>
    </row>
    <row r="14" spans="1:6" ht="15.75">
      <c r="A14" t="s">
        <v>9</v>
      </c>
      <c r="B14">
        <f>find_s_poisson(B3,B13)</f>
        <v>14</v>
      </c>
      <c r="D14" s="21"/>
      <c r="E14" s="3" t="s">
        <v>14</v>
      </c>
      <c r="F14" s="3">
        <f>B7</f>
        <v>0.05</v>
      </c>
    </row>
    <row r="15" spans="4:13" ht="15.75">
      <c r="D15" s="21"/>
      <c r="E15" s="3" t="s">
        <v>15</v>
      </c>
      <c r="F15" s="3">
        <f>B8</f>
        <v>0.35</v>
      </c>
      <c r="M15" s="4"/>
    </row>
    <row r="16" spans="1:8" ht="12.75">
      <c r="A16" s="18" t="s">
        <v>23</v>
      </c>
      <c r="B16" s="6"/>
      <c r="C16" s="6"/>
      <c r="D16" s="21"/>
      <c r="E16" t="s">
        <v>26</v>
      </c>
      <c r="F16" s="16">
        <f>F15*F9-F14*F10</f>
        <v>2.507940737694686</v>
      </c>
      <c r="G16" s="1"/>
      <c r="H16" s="1"/>
    </row>
    <row r="17" spans="1:13" ht="12.75">
      <c r="A17" s="3" t="s">
        <v>12</v>
      </c>
      <c r="B17" s="17">
        <v>0.99</v>
      </c>
      <c r="C17" s="21"/>
      <c r="D17" s="21"/>
      <c r="E17" t="s">
        <v>21</v>
      </c>
      <c r="F17" s="16">
        <f>F15*B3</f>
        <v>3.15</v>
      </c>
      <c r="G17" s="12"/>
      <c r="H17" s="1"/>
      <c r="M17" s="1"/>
    </row>
    <row r="18" spans="1:13" ht="12.75">
      <c r="A18" t="s">
        <v>13</v>
      </c>
      <c r="B18">
        <f>ROUND(B3*(1-B17),4)</f>
        <v>0.09</v>
      </c>
      <c r="C18" s="21"/>
      <c r="D18" s="21"/>
      <c r="E18" t="s">
        <v>22</v>
      </c>
      <c r="F18" s="16">
        <f>ROUND(F8*F15+F14*F10,2)</f>
        <v>0.64</v>
      </c>
      <c r="G18" s="12"/>
      <c r="H18" s="1"/>
      <c r="M18" s="1"/>
    </row>
    <row r="19" spans="1:13" ht="12.75">
      <c r="A19" t="s">
        <v>9</v>
      </c>
      <c r="B19">
        <f>find_s_loss_poisson(B3,B18)</f>
        <v>14</v>
      </c>
      <c r="C19" s="1"/>
      <c r="D19" s="23"/>
      <c r="E19" s="21"/>
      <c r="F19" s="24"/>
      <c r="G19" s="12"/>
      <c r="H19" s="1"/>
      <c r="M19" s="1"/>
    </row>
    <row r="20" spans="4:13" ht="12.75">
      <c r="D20" s="25"/>
      <c r="E20" s="26"/>
      <c r="F20" s="27"/>
      <c r="G20" s="8"/>
      <c r="H20" s="10"/>
      <c r="M20" s="1"/>
    </row>
    <row r="21" spans="4:13" ht="12.75">
      <c r="D21" s="7"/>
      <c r="E21" s="7"/>
      <c r="F21" s="7"/>
      <c r="G21" s="7"/>
      <c r="H21" s="7"/>
      <c r="M21" s="8"/>
    </row>
    <row r="22" spans="4:13" ht="12.75">
      <c r="D22" s="7"/>
      <c r="E22" s="7"/>
      <c r="F22" s="7"/>
      <c r="G22" s="7"/>
      <c r="H22" s="7"/>
      <c r="M22" s="7"/>
    </row>
    <row r="23" spans="6:13" ht="12.75">
      <c r="F23" s="11"/>
      <c r="G23" s="11"/>
      <c r="M23" s="7"/>
    </row>
  </sheetData>
  <sheetProtection/>
  <printOptions/>
  <pageMargins left="0.75" right="0.75" top="1" bottom="1" header="0.5" footer="0.5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3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32.8515625" style="0" customWidth="1"/>
  </cols>
  <sheetData>
    <row r="1" spans="1:11" ht="12.75">
      <c r="A1" s="28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2" ht="12.75">
      <c r="A3" t="s">
        <v>28</v>
      </c>
      <c r="B3" t="s">
        <v>29</v>
      </c>
    </row>
    <row r="4" spans="1:2" ht="12.75">
      <c r="A4" t="s">
        <v>30</v>
      </c>
      <c r="B4" t="s">
        <v>31</v>
      </c>
    </row>
    <row r="6" spans="1:2" ht="12.75">
      <c r="A6" t="s">
        <v>32</v>
      </c>
      <c r="B6" t="s">
        <v>33</v>
      </c>
    </row>
    <row r="7" spans="1:2" ht="12.75">
      <c r="A7" t="s">
        <v>34</v>
      </c>
      <c r="B7" t="s">
        <v>35</v>
      </c>
    </row>
    <row r="9" spans="1:2" ht="12.75">
      <c r="A9" t="s">
        <v>36</v>
      </c>
      <c r="B9" t="s">
        <v>37</v>
      </c>
    </row>
    <row r="10" spans="1:2" ht="12.75">
      <c r="A10" t="s">
        <v>38</v>
      </c>
      <c r="B10" t="s">
        <v>39</v>
      </c>
    </row>
    <row r="12" spans="1:2" ht="12.75">
      <c r="A12" t="s">
        <v>40</v>
      </c>
      <c r="B12" t="s">
        <v>41</v>
      </c>
    </row>
    <row r="13" spans="1:2" ht="12.75">
      <c r="A13" t="s">
        <v>42</v>
      </c>
      <c r="B13" t="s">
        <v>43</v>
      </c>
    </row>
    <row r="15" spans="1:2" ht="12.75">
      <c r="A15" t="s">
        <v>44</v>
      </c>
      <c r="B15" t="s">
        <v>45</v>
      </c>
    </row>
    <row r="17" spans="1:2" ht="12.75">
      <c r="A17" t="s">
        <v>46</v>
      </c>
      <c r="B17" t="s">
        <v>47</v>
      </c>
    </row>
    <row r="18" spans="1:2" ht="12.75">
      <c r="A18" t="s">
        <v>48</v>
      </c>
      <c r="B18" t="s">
        <v>49</v>
      </c>
    </row>
    <row r="19" spans="1:2" ht="12.75">
      <c r="A19" t="s">
        <v>50</v>
      </c>
      <c r="B19" t="s">
        <v>51</v>
      </c>
    </row>
    <row r="20" spans="1:2" ht="12.75">
      <c r="A20" t="s">
        <v>52</v>
      </c>
      <c r="B20" t="s">
        <v>53</v>
      </c>
    </row>
    <row r="21" spans="1:2" ht="12.75">
      <c r="A21" t="s">
        <v>54</v>
      </c>
      <c r="B21" t="s">
        <v>55</v>
      </c>
    </row>
    <row r="23" ht="12.75">
      <c r="A23" s="29" t="s">
        <v>56</v>
      </c>
    </row>
    <row r="24" spans="1:2" ht="12.75">
      <c r="A24" t="s">
        <v>57</v>
      </c>
      <c r="B24" t="s">
        <v>58</v>
      </c>
    </row>
    <row r="25" spans="1:2" ht="12.75">
      <c r="A25" t="s">
        <v>59</v>
      </c>
      <c r="B25" t="s">
        <v>60</v>
      </c>
    </row>
    <row r="26" spans="1:2" ht="12.75">
      <c r="A26" t="s">
        <v>61</v>
      </c>
      <c r="B26" t="s">
        <v>62</v>
      </c>
    </row>
    <row r="27" spans="1:2" ht="12.75">
      <c r="A27" t="s">
        <v>63</v>
      </c>
      <c r="B27" t="s">
        <v>64</v>
      </c>
    </row>
    <row r="28" spans="1:2" ht="12.75">
      <c r="A28" t="s">
        <v>65</v>
      </c>
      <c r="B28" t="s">
        <v>66</v>
      </c>
    </row>
    <row r="29" spans="1:2" ht="12.75">
      <c r="A29" t="s">
        <v>67</v>
      </c>
      <c r="B29" t="s">
        <v>68</v>
      </c>
    </row>
    <row r="30" spans="1:2" ht="12.75">
      <c r="A30" t="s">
        <v>69</v>
      </c>
      <c r="B30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8"/>
  <sheetViews>
    <sheetView zoomScale="130" zoomScaleNormal="130" zoomScalePageLayoutView="0" workbookViewId="0" topLeftCell="A1">
      <selection activeCell="A9" sqref="A9"/>
    </sheetView>
  </sheetViews>
  <sheetFormatPr defaultColWidth="9.140625" defaultRowHeight="12.75"/>
  <cols>
    <col min="2" max="2" width="19.421875" style="0" bestFit="1" customWidth="1"/>
    <col min="7" max="7" width="17.7109375" style="0" bestFit="1" customWidth="1"/>
    <col min="11" max="11" width="15.00390625" style="0" bestFit="1" customWidth="1"/>
    <col min="12" max="12" width="13.140625" style="0" customWidth="1"/>
    <col min="14" max="14" width="14.00390625" style="0" bestFit="1" customWidth="1"/>
    <col min="17" max="17" width="12.00390625" style="0" bestFit="1" customWidth="1"/>
  </cols>
  <sheetData>
    <row r="1" spans="2:3" ht="12.75">
      <c r="B1" s="2" t="s">
        <v>83</v>
      </c>
      <c r="C1">
        <v>15</v>
      </c>
    </row>
    <row r="2" spans="2:3" ht="12.75">
      <c r="B2" s="2" t="s">
        <v>84</v>
      </c>
      <c r="C2">
        <v>10.5</v>
      </c>
    </row>
    <row r="3" spans="2:3" ht="12.75">
      <c r="B3" s="2" t="s">
        <v>85</v>
      </c>
      <c r="C3">
        <v>3</v>
      </c>
    </row>
    <row r="4" spans="2:6" ht="12.75">
      <c r="B4" t="s">
        <v>71</v>
      </c>
      <c r="C4">
        <f>(C1-C2)/(C1-C3)</f>
        <v>0.375</v>
      </c>
      <c r="F4" s="2" t="s">
        <v>86</v>
      </c>
    </row>
    <row r="5" spans="2:17" ht="12.75">
      <c r="B5" t="s">
        <v>72</v>
      </c>
      <c r="C5">
        <f>_xlfn.NORM.INV(C4,100,30)</f>
        <v>90.44081908106874</v>
      </c>
      <c r="D5" s="16"/>
      <c r="K5" s="2" t="s">
        <v>87</v>
      </c>
      <c r="N5" s="2" t="s">
        <v>90</v>
      </c>
      <c r="Q5" s="2" t="s">
        <v>91</v>
      </c>
    </row>
    <row r="6" spans="2:12" ht="12.75">
      <c r="B6" t="s">
        <v>73</v>
      </c>
      <c r="C6">
        <f>15*(C5-loss_normal(C5,100,30))-C5*10.5</f>
        <v>146.34368586480934</v>
      </c>
      <c r="G6" s="2" t="s">
        <v>83</v>
      </c>
      <c r="H6">
        <v>15</v>
      </c>
      <c r="K6" s="2" t="s">
        <v>88</v>
      </c>
      <c r="L6">
        <v>15</v>
      </c>
    </row>
    <row r="7" spans="7:11" ht="12.75">
      <c r="G7" s="2" t="s">
        <v>84</v>
      </c>
      <c r="H7">
        <v>3</v>
      </c>
      <c r="K7" s="2" t="s">
        <v>84</v>
      </c>
    </row>
    <row r="8" ht="12.75">
      <c r="K8" s="2" t="s">
        <v>89</v>
      </c>
    </row>
    <row r="9" spans="2:12" ht="12.75">
      <c r="B9" t="s">
        <v>74</v>
      </c>
      <c r="C9" t="s">
        <v>75</v>
      </c>
      <c r="D9" t="s">
        <v>76</v>
      </c>
      <c r="G9" t="s">
        <v>77</v>
      </c>
      <c r="H9">
        <f>(H6-H7)/H6</f>
        <v>0.8</v>
      </c>
      <c r="K9" t="s">
        <v>77</v>
      </c>
      <c r="L9">
        <f>(L6-L7)/L6</f>
        <v>1</v>
      </c>
    </row>
    <row r="10" spans="2:11" ht="12.75">
      <c r="B10" t="s">
        <v>78</v>
      </c>
      <c r="C10" t="s">
        <v>79</v>
      </c>
      <c r="D10" t="s">
        <v>80</v>
      </c>
      <c r="G10" t="s">
        <v>81</v>
      </c>
      <c r="H10">
        <f>_xlfn.NORM.INV(H9,100,30)</f>
        <v>125.24863700718744</v>
      </c>
      <c r="K10" s="2" t="s">
        <v>75</v>
      </c>
    </row>
    <row r="11" spans="2:11" ht="12.75">
      <c r="B11">
        <v>4</v>
      </c>
      <c r="C11">
        <f>_xlfn.NORM.INV((12-B11)/(12-3),100,30)</f>
        <v>136.6192104654205</v>
      </c>
      <c r="D11">
        <f>B11*C11</f>
        <v>546.476841861682</v>
      </c>
      <c r="G11" t="s">
        <v>82</v>
      </c>
      <c r="H11">
        <f>15*(H10-loss_normal(H10,100,30))-H10*10.5</f>
        <v>513.2188665323433</v>
      </c>
      <c r="K11" s="2" t="s">
        <v>92</v>
      </c>
    </row>
    <row r="12" spans="2:11" ht="12.75">
      <c r="B12">
        <v>5</v>
      </c>
      <c r="C12">
        <f aca="true" t="shared" si="0" ref="C12:C18">_xlfn.NORM.INV((12-B12)/(12-3),100,30)</f>
        <v>122.94129021359161</v>
      </c>
      <c r="D12">
        <f aca="true" t="shared" si="1" ref="D12:D18">B12*C12</f>
        <v>614.706451067958</v>
      </c>
      <c r="K12" s="2" t="s">
        <v>76</v>
      </c>
    </row>
    <row r="13" spans="2:4" ht="12.75">
      <c r="B13">
        <v>6</v>
      </c>
      <c r="C13">
        <f t="shared" si="0"/>
        <v>112.92181897886373</v>
      </c>
      <c r="D13">
        <f t="shared" si="1"/>
        <v>677.5309138731824</v>
      </c>
    </row>
    <row r="14" spans="2:4" ht="12.75">
      <c r="B14">
        <v>7</v>
      </c>
      <c r="C14">
        <f t="shared" si="0"/>
        <v>104.19130896645586</v>
      </c>
      <c r="D14">
        <f t="shared" si="1"/>
        <v>729.3391627651911</v>
      </c>
    </row>
    <row r="15" spans="2:4" ht="12.75">
      <c r="B15">
        <v>8</v>
      </c>
      <c r="C15">
        <f t="shared" si="0"/>
        <v>95.80869103354414</v>
      </c>
      <c r="D15">
        <f t="shared" si="1"/>
        <v>766.4695282683531</v>
      </c>
    </row>
    <row r="16" spans="2:4" ht="12.75">
      <c r="B16">
        <v>9.151429687500052</v>
      </c>
      <c r="C16">
        <f t="shared" si="0"/>
        <v>85.67540050155307</v>
      </c>
      <c r="D16">
        <f t="shared" si="1"/>
        <v>784.0524036383696</v>
      </c>
    </row>
    <row r="17" spans="2:4" ht="12.75">
      <c r="B17">
        <v>10</v>
      </c>
      <c r="C17">
        <f t="shared" si="0"/>
        <v>77.05870978640839</v>
      </c>
      <c r="D17">
        <f t="shared" si="1"/>
        <v>770.5870978640838</v>
      </c>
    </row>
    <row r="18" spans="2:4" ht="12.75">
      <c r="B18">
        <v>11</v>
      </c>
      <c r="C18">
        <f t="shared" si="0"/>
        <v>63.3807895345795</v>
      </c>
      <c r="D18">
        <f t="shared" si="1"/>
        <v>697.1886848803745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34"/>
  <sheetViews>
    <sheetView zoomScale="160" zoomScaleNormal="160" zoomScalePageLayoutView="0" workbookViewId="0" topLeftCell="D6">
      <selection activeCell="I20" sqref="I20"/>
    </sheetView>
  </sheetViews>
  <sheetFormatPr defaultColWidth="9.140625" defaultRowHeight="12.75"/>
  <cols>
    <col min="1" max="1" width="30.7109375" style="0" customWidth="1"/>
    <col min="2" max="2" width="13.00390625" style="0" customWidth="1"/>
    <col min="3" max="3" width="5.7109375" style="0" customWidth="1"/>
    <col min="4" max="4" width="5.57421875" style="0" customWidth="1"/>
    <col min="5" max="5" width="30.8515625" style="0" customWidth="1"/>
    <col min="6" max="6" width="10.8515625" style="0" bestFit="1" customWidth="1"/>
    <col min="7" max="7" width="12.8515625" style="0" bestFit="1" customWidth="1"/>
    <col min="9" max="9" width="9.57421875" style="0" bestFit="1" customWidth="1"/>
    <col min="10" max="10" width="14.57421875" style="0" bestFit="1" customWidth="1"/>
  </cols>
  <sheetData>
    <row r="1" spans="1:6" ht="18.75" thickBot="1">
      <c r="A1" s="19" t="s">
        <v>17</v>
      </c>
      <c r="B1" s="20"/>
      <c r="C1" s="20"/>
      <c r="D1" s="20"/>
      <c r="E1" s="20"/>
      <c r="F1" s="20"/>
    </row>
    <row r="2" ht="13.5" thickTop="1">
      <c r="A2" t="s">
        <v>10</v>
      </c>
    </row>
    <row r="3" spans="1:8" ht="12.75">
      <c r="A3" s="3" t="s">
        <v>16</v>
      </c>
      <c r="B3" s="3">
        <v>250</v>
      </c>
      <c r="F3" s="14"/>
      <c r="G3" s="14"/>
      <c r="H3" s="2" t="s">
        <v>99</v>
      </c>
    </row>
    <row r="4" spans="1:2" ht="12.75">
      <c r="A4" s="3" t="s">
        <v>18</v>
      </c>
      <c r="B4" s="3">
        <v>125</v>
      </c>
    </row>
    <row r="5" spans="6:10" ht="12.75">
      <c r="F5" s="3"/>
      <c r="G5" s="3"/>
      <c r="H5" s="2" t="s">
        <v>93</v>
      </c>
      <c r="I5">
        <v>115</v>
      </c>
      <c r="J5" s="2" t="s">
        <v>97</v>
      </c>
    </row>
    <row r="6" spans="1:10" ht="12.75">
      <c r="A6" s="18" t="s">
        <v>2</v>
      </c>
      <c r="B6" s="6"/>
      <c r="E6" s="18" t="s">
        <v>3</v>
      </c>
      <c r="F6" s="6"/>
      <c r="H6" s="2" t="s">
        <v>78</v>
      </c>
      <c r="I6">
        <v>75</v>
      </c>
      <c r="J6" s="2" t="s">
        <v>84</v>
      </c>
    </row>
    <row r="7" spans="1:10" ht="15.75">
      <c r="A7" s="3" t="s">
        <v>14</v>
      </c>
      <c r="B7" s="3">
        <f>I6-I9</f>
        <v>5</v>
      </c>
      <c r="E7" s="3" t="s">
        <v>4</v>
      </c>
      <c r="F7" s="9">
        <f>B11</f>
        <v>403.75</v>
      </c>
      <c r="H7" s="2" t="s">
        <v>94</v>
      </c>
      <c r="I7">
        <v>25</v>
      </c>
      <c r="J7" s="2" t="s">
        <v>98</v>
      </c>
    </row>
    <row r="8" spans="1:10" ht="15.75">
      <c r="A8" s="3" t="s">
        <v>15</v>
      </c>
      <c r="B8" s="3">
        <f>I5-I6</f>
        <v>40</v>
      </c>
      <c r="E8" t="s">
        <v>20</v>
      </c>
      <c r="F8" s="16">
        <f>ROUND((F7-B3)/B4,2)</f>
        <v>1.23</v>
      </c>
      <c r="H8" s="2" t="s">
        <v>95</v>
      </c>
      <c r="I8">
        <v>35</v>
      </c>
      <c r="J8" s="2" t="s">
        <v>96</v>
      </c>
    </row>
    <row r="9" spans="1:10" ht="15.75">
      <c r="A9" s="2" t="s">
        <v>19</v>
      </c>
      <c r="B9" s="1">
        <f>ROUND(B8/(B7+B8),4)</f>
        <v>0.8889</v>
      </c>
      <c r="E9" t="s">
        <v>0</v>
      </c>
      <c r="F9" s="16">
        <f>B4*(NORMDIST(F8,0,1,0)-F8*(1-NORMSDIST((F8))))</f>
        <v>6.592087335891072</v>
      </c>
      <c r="H9" s="2" t="s">
        <v>103</v>
      </c>
      <c r="I9">
        <v>70</v>
      </c>
      <c r="J9" s="2" t="s">
        <v>102</v>
      </c>
    </row>
    <row r="10" spans="1:6" ht="12.75">
      <c r="A10" t="s">
        <v>11</v>
      </c>
      <c r="B10" s="16">
        <f>find_z(B9)</f>
        <v>1.23</v>
      </c>
      <c r="E10" t="s">
        <v>1</v>
      </c>
      <c r="F10" s="16">
        <f>B3-F9</f>
        <v>243.40791266410892</v>
      </c>
    </row>
    <row r="11" spans="1:7" ht="12.75">
      <c r="A11" t="s">
        <v>9</v>
      </c>
      <c r="B11" s="16">
        <f>B3+B4*B10</f>
        <v>403.75</v>
      </c>
      <c r="E11" t="s">
        <v>5</v>
      </c>
      <c r="F11" s="16">
        <f>F7-F10</f>
        <v>160.34208733589108</v>
      </c>
      <c r="G11" s="12"/>
    </row>
    <row r="12" spans="5:6" ht="12.75">
      <c r="E12" s="36" t="s">
        <v>100</v>
      </c>
      <c r="F12" s="39">
        <f>F10/B3</f>
        <v>0.9736316506564356</v>
      </c>
    </row>
    <row r="13" spans="1:6" ht="12.75">
      <c r="A13" s="31" t="s">
        <v>24</v>
      </c>
      <c r="B13" s="32"/>
      <c r="C13" s="32"/>
      <c r="D13" s="21"/>
      <c r="E13" t="s">
        <v>7</v>
      </c>
      <c r="F13" s="7">
        <f>1-NORMSDIST(F8)</f>
        <v>0.10934855242569186</v>
      </c>
    </row>
    <row r="14" spans="1:64" ht="12.75">
      <c r="A14" s="33" t="s">
        <v>25</v>
      </c>
      <c r="B14" s="33">
        <v>0.95</v>
      </c>
      <c r="C14" s="34"/>
      <c r="D14" s="22"/>
      <c r="I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" ht="15.75">
      <c r="A15" s="33" t="s">
        <v>11</v>
      </c>
      <c r="B15" s="35">
        <f>find_z(B14)</f>
        <v>1.65</v>
      </c>
      <c r="C15" s="36"/>
      <c r="D15" s="21"/>
      <c r="E15" s="3" t="s">
        <v>14</v>
      </c>
      <c r="F15" s="3">
        <f>B7</f>
        <v>5</v>
      </c>
    </row>
    <row r="16" spans="1:64" ht="15.75">
      <c r="A16" s="36" t="s">
        <v>9</v>
      </c>
      <c r="B16" s="36">
        <f>$B$3+B15*$B$4</f>
        <v>456.25</v>
      </c>
      <c r="C16" s="33"/>
      <c r="D16" s="23"/>
      <c r="E16" s="3" t="s">
        <v>15</v>
      </c>
      <c r="F16" s="3">
        <f>B8</f>
        <v>40</v>
      </c>
      <c r="H16" s="2" t="s">
        <v>101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>
      <c r="A17" s="36"/>
      <c r="B17" s="36"/>
      <c r="C17" s="33"/>
      <c r="D17" s="21"/>
      <c r="E17" t="s">
        <v>26</v>
      </c>
      <c r="F17" s="30">
        <f>F16*F10-F15*F11</f>
        <v>8934.606069884901</v>
      </c>
      <c r="G17" s="12"/>
      <c r="H17" s="2">
        <f>F7*I6-F7*I8-F11*(I9-I7)</f>
        <v>8934.606069884901</v>
      </c>
      <c r="I17" s="1"/>
      <c r="J17" s="2" t="s">
        <v>104</v>
      </c>
      <c r="K17" s="16">
        <f>F17+H17</f>
        <v>17869.212139769803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31" t="s">
        <v>23</v>
      </c>
      <c r="B18" s="32"/>
      <c r="C18" s="32"/>
      <c r="D18" s="21"/>
      <c r="E18" t="s">
        <v>21</v>
      </c>
      <c r="F18" s="16">
        <f>F16*B3</f>
        <v>10000</v>
      </c>
      <c r="G18" s="12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36" t="s">
        <v>12</v>
      </c>
      <c r="B19" s="37">
        <v>0.99</v>
      </c>
      <c r="C19" s="38"/>
      <c r="D19" s="21"/>
      <c r="E19" t="s">
        <v>22</v>
      </c>
      <c r="F19" s="16">
        <f>ROUND(F9*F16+F15*F11,2)</f>
        <v>1065.39</v>
      </c>
      <c r="G19" s="12"/>
      <c r="H19" s="1"/>
      <c r="I19" s="41" t="s">
        <v>108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36" t="s">
        <v>13</v>
      </c>
      <c r="B20" s="36">
        <f>ROUND(B3*(1-B19)/B4,4)</f>
        <v>0.02</v>
      </c>
      <c r="C20" s="38"/>
      <c r="D20" s="21"/>
      <c r="E20" s="21"/>
      <c r="F20" s="8"/>
      <c r="G20" s="8"/>
      <c r="H20" s="10"/>
      <c r="I20" s="10">
        <f>H17/K17</f>
        <v>0.5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8" ht="12.75">
      <c r="A21" s="36" t="s">
        <v>11</v>
      </c>
      <c r="B21" s="36">
        <f>find_lz(B20)</f>
        <v>1.67</v>
      </c>
      <c r="C21" s="33"/>
      <c r="D21" s="1"/>
      <c r="F21" s="7"/>
      <c r="G21" s="7"/>
      <c r="H21" s="7"/>
    </row>
    <row r="22" spans="1:8" ht="12.75">
      <c r="A22" s="36" t="s">
        <v>9</v>
      </c>
      <c r="B22" s="36">
        <f>$B$3+B21*$B$4</f>
        <v>458.75</v>
      </c>
      <c r="C22" s="33"/>
      <c r="D22" s="1"/>
      <c r="F22" s="7"/>
      <c r="G22" s="7"/>
      <c r="H22" s="7"/>
    </row>
    <row r="23" spans="6:7" ht="12.75">
      <c r="F23" s="11"/>
      <c r="G23" s="11"/>
    </row>
    <row r="30" spans="2:7" ht="12.75">
      <c r="B30" s="13"/>
      <c r="F30" s="13"/>
      <c r="G30" s="13"/>
    </row>
    <row r="33" ht="12.75">
      <c r="F33" s="15"/>
    </row>
    <row r="34" ht="12.75">
      <c r="F34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34"/>
  <sheetViews>
    <sheetView zoomScale="160" zoomScaleNormal="160" zoomScalePageLayoutView="0" workbookViewId="0" topLeftCell="C5">
      <selection activeCell="F17" sqref="F17"/>
    </sheetView>
  </sheetViews>
  <sheetFormatPr defaultColWidth="9.140625" defaultRowHeight="12.75"/>
  <cols>
    <col min="1" max="1" width="30.7109375" style="0" customWidth="1"/>
    <col min="2" max="2" width="13.00390625" style="0" customWidth="1"/>
    <col min="3" max="3" width="5.7109375" style="0" customWidth="1"/>
    <col min="4" max="4" width="5.57421875" style="0" customWidth="1"/>
    <col min="5" max="5" width="30.8515625" style="0" customWidth="1"/>
    <col min="6" max="6" width="10.8515625" style="0" bestFit="1" customWidth="1"/>
    <col min="7" max="7" width="12.8515625" style="0" bestFit="1" customWidth="1"/>
    <col min="9" max="9" width="6.421875" style="0" bestFit="1" customWidth="1"/>
    <col min="10" max="10" width="14.57421875" style="0" bestFit="1" customWidth="1"/>
  </cols>
  <sheetData>
    <row r="1" spans="1:6" ht="18.75" thickBot="1">
      <c r="A1" s="19" t="s">
        <v>17</v>
      </c>
      <c r="B1" s="20"/>
      <c r="C1" s="20"/>
      <c r="D1" s="20"/>
      <c r="E1" s="20"/>
      <c r="F1" s="20"/>
    </row>
    <row r="2" ht="13.5" thickTop="1">
      <c r="A2" t="s">
        <v>10</v>
      </c>
    </row>
    <row r="3" spans="1:8" ht="12.75">
      <c r="A3" s="3" t="s">
        <v>16</v>
      </c>
      <c r="B3" s="3">
        <v>250</v>
      </c>
      <c r="F3" s="14"/>
      <c r="G3" s="14"/>
      <c r="H3" s="2" t="s">
        <v>99</v>
      </c>
    </row>
    <row r="4" spans="1:2" ht="12.75">
      <c r="A4" s="3" t="s">
        <v>18</v>
      </c>
      <c r="B4" s="3">
        <v>125</v>
      </c>
    </row>
    <row r="5" spans="6:14" ht="12.75">
      <c r="F5" s="3"/>
      <c r="G5" s="3"/>
      <c r="H5" s="2" t="s">
        <v>93</v>
      </c>
      <c r="I5">
        <v>115</v>
      </c>
      <c r="J5" s="2" t="s">
        <v>97</v>
      </c>
      <c r="M5" s="2" t="s">
        <v>93</v>
      </c>
      <c r="N5">
        <v>115</v>
      </c>
    </row>
    <row r="6" spans="1:14" ht="12.75">
      <c r="A6" s="18" t="s">
        <v>2</v>
      </c>
      <c r="B6" s="6"/>
      <c r="E6" s="18" t="s">
        <v>3</v>
      </c>
      <c r="F6" s="6"/>
      <c r="H6" s="2" t="s">
        <v>78</v>
      </c>
      <c r="I6">
        <v>89</v>
      </c>
      <c r="J6" s="2" t="s">
        <v>84</v>
      </c>
      <c r="M6" s="2" t="s">
        <v>78</v>
      </c>
      <c r="N6">
        <v>50</v>
      </c>
    </row>
    <row r="7" spans="1:14" ht="15.75">
      <c r="A7" s="3" t="s">
        <v>14</v>
      </c>
      <c r="B7" s="3">
        <f>I6-I9</f>
        <v>3.25</v>
      </c>
      <c r="E7" s="3" t="s">
        <v>4</v>
      </c>
      <c r="F7" s="9">
        <f>B11</f>
        <v>403.75</v>
      </c>
      <c r="H7" s="2" t="s">
        <v>94</v>
      </c>
      <c r="I7">
        <v>25</v>
      </c>
      <c r="J7" s="2" t="s">
        <v>98</v>
      </c>
      <c r="M7" s="2" t="s">
        <v>94</v>
      </c>
      <c r="N7">
        <v>25</v>
      </c>
    </row>
    <row r="8" spans="1:14" ht="15.75">
      <c r="A8" s="3" t="s">
        <v>15</v>
      </c>
      <c r="B8" s="3">
        <f>I5-I6</f>
        <v>26</v>
      </c>
      <c r="E8" t="s">
        <v>20</v>
      </c>
      <c r="F8" s="16">
        <f>ROUND((F7-B3)/B4,2)</f>
        <v>1.23</v>
      </c>
      <c r="H8" s="2" t="s">
        <v>95</v>
      </c>
      <c r="I8">
        <v>35</v>
      </c>
      <c r="J8" s="2" t="s">
        <v>96</v>
      </c>
      <c r="M8" s="2" t="s">
        <v>95</v>
      </c>
      <c r="N8">
        <v>35</v>
      </c>
    </row>
    <row r="9" spans="1:14" ht="15.75">
      <c r="A9" s="2" t="s">
        <v>19</v>
      </c>
      <c r="B9" s="1">
        <f>ROUND(B8/(B7+B8),4)</f>
        <v>0.8889</v>
      </c>
      <c r="E9" t="s">
        <v>0</v>
      </c>
      <c r="F9" s="16">
        <f>B4*(NORMDIST(F8,0,1,0)-F8*(1-NORMSDIST((F8))))</f>
        <v>6.592087335891072</v>
      </c>
      <c r="H9" s="2" t="s">
        <v>103</v>
      </c>
      <c r="I9">
        <f>(9*I6-I5)/8</f>
        <v>85.75</v>
      </c>
      <c r="J9" s="2" t="s">
        <v>102</v>
      </c>
      <c r="M9" s="2" t="s">
        <v>103</v>
      </c>
      <c r="N9">
        <f>(9*N6-N5)/8</f>
        <v>41.875</v>
      </c>
    </row>
    <row r="10" spans="1:6" ht="12.75">
      <c r="A10" t="s">
        <v>11</v>
      </c>
      <c r="B10" s="16">
        <f>find_z(B9)</f>
        <v>1.23</v>
      </c>
      <c r="E10" t="s">
        <v>1</v>
      </c>
      <c r="F10" s="16">
        <f>B3-F9</f>
        <v>243.40791266410892</v>
      </c>
    </row>
    <row r="11" spans="1:14" ht="12.75">
      <c r="A11" t="s">
        <v>9</v>
      </c>
      <c r="B11" s="16">
        <f>B3+B4*B10</f>
        <v>403.75</v>
      </c>
      <c r="E11" t="s">
        <v>5</v>
      </c>
      <c r="F11" s="16">
        <f>F7-F10</f>
        <v>160.34208733589108</v>
      </c>
      <c r="G11" s="12"/>
      <c r="M11" t="s">
        <v>105</v>
      </c>
      <c r="N11">
        <f>N6-N9</f>
        <v>8.125</v>
      </c>
    </row>
    <row r="12" spans="5:14" ht="12.75">
      <c r="E12" s="36" t="s">
        <v>100</v>
      </c>
      <c r="F12" s="39">
        <f>F10/B3</f>
        <v>0.9736316506564356</v>
      </c>
      <c r="M12" t="s">
        <v>65</v>
      </c>
      <c r="N12">
        <f>N5-N6</f>
        <v>65</v>
      </c>
    </row>
    <row r="13" spans="1:14" ht="12.75">
      <c r="A13" s="31" t="s">
        <v>24</v>
      </c>
      <c r="B13" s="32"/>
      <c r="C13" s="32"/>
      <c r="D13" s="21"/>
      <c r="E13" t="s">
        <v>7</v>
      </c>
      <c r="F13" s="7">
        <f>1-NORMSDIST(F8)</f>
        <v>0.10934855242569186</v>
      </c>
      <c r="M13" t="s">
        <v>106</v>
      </c>
      <c r="N13" s="1">
        <f>ROUND(N12/(N11+N12),4)</f>
        <v>0.8889</v>
      </c>
    </row>
    <row r="14" spans="1:64" ht="12.75">
      <c r="A14" s="33" t="s">
        <v>25</v>
      </c>
      <c r="B14" s="33">
        <v>0.95</v>
      </c>
      <c r="C14" s="34"/>
      <c r="D14" s="22"/>
      <c r="I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" ht="15.75">
      <c r="A15" s="33" t="s">
        <v>11</v>
      </c>
      <c r="B15" s="35">
        <f>find_z(B14)</f>
        <v>1.65</v>
      </c>
      <c r="C15" s="36"/>
      <c r="D15" s="21"/>
      <c r="E15" s="3" t="s">
        <v>14</v>
      </c>
      <c r="F15" s="3">
        <f>B7</f>
        <v>3.25</v>
      </c>
    </row>
    <row r="16" spans="1:64" ht="15.75">
      <c r="A16" s="36" t="s">
        <v>9</v>
      </c>
      <c r="B16" s="36">
        <f>$B$3+B15*$B$4</f>
        <v>456.25</v>
      </c>
      <c r="C16" s="33"/>
      <c r="D16" s="23"/>
      <c r="E16" s="3" t="s">
        <v>15</v>
      </c>
      <c r="F16" s="3">
        <f>B8</f>
        <v>26</v>
      </c>
      <c r="H16" s="2" t="s">
        <v>101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>
      <c r="A17" s="36"/>
      <c r="B17" s="36"/>
      <c r="C17" s="33"/>
      <c r="D17" s="21"/>
      <c r="E17" t="s">
        <v>26</v>
      </c>
      <c r="F17" s="30">
        <f>F16*F10-F15*F11</f>
        <v>5807.493945425186</v>
      </c>
      <c r="G17" s="12"/>
      <c r="H17" s="2">
        <f>F7*I6-F7*I8-F11*(I9-I7)</f>
        <v>12061.718194344618</v>
      </c>
      <c r="I17" s="1"/>
      <c r="J17" s="2" t="s">
        <v>104</v>
      </c>
      <c r="K17" s="16">
        <f>F17+H17</f>
        <v>17869.212139769803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31" t="s">
        <v>23</v>
      </c>
      <c r="B18" s="32"/>
      <c r="C18" s="32"/>
      <c r="D18" s="21"/>
      <c r="E18" t="s">
        <v>21</v>
      </c>
      <c r="F18" s="16">
        <f>F16*B3</f>
        <v>6500</v>
      </c>
      <c r="G18" s="12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36" t="s">
        <v>12</v>
      </c>
      <c r="B19" s="37">
        <v>0.99</v>
      </c>
      <c r="C19" s="38"/>
      <c r="D19" s="21"/>
      <c r="E19" t="s">
        <v>22</v>
      </c>
      <c r="F19" s="16">
        <f>ROUND(F9*F16+F15*F11,2)</f>
        <v>692.51</v>
      </c>
      <c r="G19" s="12"/>
      <c r="H19" s="1"/>
      <c r="I19" s="1"/>
      <c r="J19" s="40" t="s">
        <v>108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36" t="s">
        <v>13</v>
      </c>
      <c r="B20" s="36">
        <f>ROUND(B3*(1-B19)/B4,4)</f>
        <v>0.02</v>
      </c>
      <c r="C20" s="38"/>
      <c r="D20" s="21"/>
      <c r="E20" s="21"/>
      <c r="F20" s="8"/>
      <c r="G20" s="8"/>
      <c r="H20" s="10"/>
      <c r="J20">
        <f>H17/K17</f>
        <v>0.675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8" ht="12.75">
      <c r="A21" s="36" t="s">
        <v>11</v>
      </c>
      <c r="B21" s="36">
        <f>find_lz(B20)</f>
        <v>1.67</v>
      </c>
      <c r="C21" s="33"/>
      <c r="D21" s="1"/>
      <c r="F21" s="7"/>
      <c r="G21" s="7"/>
      <c r="H21" s="7"/>
    </row>
    <row r="22" spans="1:8" ht="12.75">
      <c r="A22" s="36" t="s">
        <v>9</v>
      </c>
      <c r="B22" s="36">
        <f>$B$3+B21*$B$4</f>
        <v>458.75</v>
      </c>
      <c r="C22" s="33"/>
      <c r="D22" s="1"/>
      <c r="F22" s="7"/>
      <c r="G22" s="7"/>
      <c r="H22" s="7"/>
    </row>
    <row r="23" spans="6:7" ht="12.75">
      <c r="F23" s="11"/>
      <c r="G23" s="11"/>
    </row>
    <row r="30" spans="2:7" ht="12.75">
      <c r="B30" s="13"/>
      <c r="F30" s="13"/>
      <c r="G30" s="13"/>
    </row>
    <row r="33" ht="12.75">
      <c r="F33" s="15"/>
    </row>
    <row r="34" ht="12.75">
      <c r="F34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34"/>
  <sheetViews>
    <sheetView zoomScale="140" zoomScaleNormal="140" zoomScalePageLayoutView="0" workbookViewId="0" topLeftCell="D1">
      <selection activeCell="I20" sqref="I20"/>
    </sheetView>
  </sheetViews>
  <sheetFormatPr defaultColWidth="9.140625" defaultRowHeight="12.75"/>
  <cols>
    <col min="1" max="1" width="30.7109375" style="0" customWidth="1"/>
    <col min="2" max="2" width="13.00390625" style="0" customWidth="1"/>
    <col min="3" max="3" width="5.7109375" style="0" customWidth="1"/>
    <col min="4" max="4" width="5.57421875" style="0" customWidth="1"/>
    <col min="5" max="5" width="30.8515625" style="0" customWidth="1"/>
    <col min="6" max="6" width="10.8515625" style="0" bestFit="1" customWidth="1"/>
    <col min="7" max="7" width="12.8515625" style="0" bestFit="1" customWidth="1"/>
    <col min="9" max="9" width="9.57421875" style="0" bestFit="1" customWidth="1"/>
    <col min="10" max="10" width="15.421875" style="0" bestFit="1" customWidth="1"/>
  </cols>
  <sheetData>
    <row r="1" spans="1:6" ht="18.75" thickBot="1">
      <c r="A1" s="19" t="s">
        <v>17</v>
      </c>
      <c r="B1" s="20"/>
      <c r="C1" s="20"/>
      <c r="D1" s="20"/>
      <c r="E1" s="20"/>
      <c r="F1" s="20"/>
    </row>
    <row r="2" ht="13.5" thickTop="1">
      <c r="A2" t="s">
        <v>10</v>
      </c>
    </row>
    <row r="3" spans="1:8" ht="12.75">
      <c r="A3" s="3" t="s">
        <v>16</v>
      </c>
      <c r="B3" s="3">
        <v>250</v>
      </c>
      <c r="F3" s="14"/>
      <c r="G3" s="14"/>
      <c r="H3" s="2" t="s">
        <v>99</v>
      </c>
    </row>
    <row r="4" spans="1:2" ht="12.75">
      <c r="A4" s="3" t="s">
        <v>18</v>
      </c>
      <c r="B4" s="3">
        <v>125</v>
      </c>
    </row>
    <row r="5" spans="6:10" ht="12.75">
      <c r="F5" s="3"/>
      <c r="G5" s="3"/>
      <c r="H5" s="2" t="s">
        <v>93</v>
      </c>
      <c r="I5">
        <v>115</v>
      </c>
      <c r="J5" s="2" t="s">
        <v>97</v>
      </c>
    </row>
    <row r="6" spans="1:10" ht="12.75">
      <c r="A6" s="18" t="s">
        <v>2</v>
      </c>
      <c r="B6" s="6"/>
      <c r="E6" s="18" t="s">
        <v>3</v>
      </c>
      <c r="F6" s="6"/>
      <c r="H6" s="2" t="s">
        <v>78</v>
      </c>
      <c r="I6">
        <v>30</v>
      </c>
      <c r="J6" s="2" t="s">
        <v>84</v>
      </c>
    </row>
    <row r="7" spans="1:10" ht="15.75">
      <c r="A7" s="3" t="s">
        <v>14</v>
      </c>
      <c r="B7" s="3">
        <f>I6-I7</f>
        <v>5</v>
      </c>
      <c r="E7" s="3" t="s">
        <v>4</v>
      </c>
      <c r="F7" s="9">
        <f>B11</f>
        <v>403.75</v>
      </c>
      <c r="H7" s="2" t="s">
        <v>94</v>
      </c>
      <c r="I7">
        <v>25</v>
      </c>
      <c r="J7" s="2" t="s">
        <v>98</v>
      </c>
    </row>
    <row r="8" spans="1:10" ht="15.75">
      <c r="A8" s="3" t="s">
        <v>15</v>
      </c>
      <c r="B8" s="3">
        <f>I5-I6-I9</f>
        <v>40</v>
      </c>
      <c r="E8" t="s">
        <v>20</v>
      </c>
      <c r="F8" s="16">
        <f>ROUND((F7-B3)/B4,2)</f>
        <v>1.23</v>
      </c>
      <c r="H8" s="2" t="s">
        <v>95</v>
      </c>
      <c r="I8">
        <v>35</v>
      </c>
      <c r="J8" s="2" t="s">
        <v>96</v>
      </c>
    </row>
    <row r="9" spans="1:10" ht="15.75">
      <c r="A9" s="2" t="s">
        <v>19</v>
      </c>
      <c r="B9" s="1">
        <f>ROUND(B8/(B7+B8),4)</f>
        <v>0.8889</v>
      </c>
      <c r="E9" t="s">
        <v>0</v>
      </c>
      <c r="F9" s="16">
        <f>B4*(NORMDIST(F8,0,1,0)-F8*(1-NORMSDIST((F8))))</f>
        <v>6.592087335891072</v>
      </c>
      <c r="H9" s="2" t="s">
        <v>93</v>
      </c>
      <c r="I9">
        <v>45</v>
      </c>
      <c r="J9" s="2" t="s">
        <v>87</v>
      </c>
    </row>
    <row r="10" spans="1:6" ht="12.75">
      <c r="A10" t="s">
        <v>11</v>
      </c>
      <c r="B10" s="16">
        <f>find_z(B9)</f>
        <v>1.23</v>
      </c>
      <c r="E10" t="s">
        <v>1</v>
      </c>
      <c r="F10" s="16">
        <f>B3-F9</f>
        <v>243.40791266410892</v>
      </c>
    </row>
    <row r="11" spans="1:7" ht="12.75">
      <c r="A11" t="s">
        <v>9</v>
      </c>
      <c r="B11" s="16">
        <f>B3+B4*B10</f>
        <v>403.75</v>
      </c>
      <c r="E11" t="s">
        <v>5</v>
      </c>
      <c r="F11" s="16">
        <f>F7-F10</f>
        <v>160.34208733589108</v>
      </c>
      <c r="G11" s="12"/>
    </row>
    <row r="12" spans="5:6" ht="12.75">
      <c r="E12" s="36" t="s">
        <v>100</v>
      </c>
      <c r="F12" s="39">
        <f>F10/B3</f>
        <v>0.9736316506564356</v>
      </c>
    </row>
    <row r="13" spans="1:6" ht="12.75">
      <c r="A13" s="31" t="s">
        <v>24</v>
      </c>
      <c r="B13" s="32"/>
      <c r="C13" s="32"/>
      <c r="D13" s="21"/>
      <c r="E13" t="s">
        <v>7</v>
      </c>
      <c r="F13" s="7">
        <f>1-NORMSDIST(F8)</f>
        <v>0.10934855242569186</v>
      </c>
    </row>
    <row r="14" spans="1:64" ht="12.75">
      <c r="A14" s="33" t="s">
        <v>25</v>
      </c>
      <c r="B14" s="33">
        <v>0.95</v>
      </c>
      <c r="C14" s="34"/>
      <c r="D14" s="22"/>
      <c r="I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" ht="15.75">
      <c r="A15" s="33" t="s">
        <v>11</v>
      </c>
      <c r="B15" s="35">
        <f>find_z(B14)</f>
        <v>1.65</v>
      </c>
      <c r="C15" s="36"/>
      <c r="D15" s="21"/>
      <c r="E15" s="3" t="s">
        <v>14</v>
      </c>
      <c r="F15" s="3">
        <f>B7</f>
        <v>5</v>
      </c>
    </row>
    <row r="16" spans="1:64" ht="15.75">
      <c r="A16" s="36" t="s">
        <v>9</v>
      </c>
      <c r="B16" s="36">
        <f>$B$3+B15*$B$4</f>
        <v>456.25</v>
      </c>
      <c r="C16" s="33"/>
      <c r="D16" s="23"/>
      <c r="E16" s="3" t="s">
        <v>15</v>
      </c>
      <c r="F16" s="3">
        <f>B8</f>
        <v>40</v>
      </c>
      <c r="H16" s="2" t="s">
        <v>101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>
      <c r="A17" s="36"/>
      <c r="B17" s="36"/>
      <c r="C17" s="33"/>
      <c r="D17" s="21"/>
      <c r="E17" t="s">
        <v>26</v>
      </c>
      <c r="F17" s="30">
        <f>F16*F10-F15*F11</f>
        <v>8934.606069884901</v>
      </c>
      <c r="G17" s="12"/>
      <c r="H17" s="2">
        <f>F10*I9+I6*F7-I8*F7</f>
        <v>8934.606069884903</v>
      </c>
      <c r="I17" s="1"/>
      <c r="J17" s="2" t="s">
        <v>104</v>
      </c>
      <c r="K17" s="16">
        <f>F17+H17</f>
        <v>17869.212139769807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31" t="s">
        <v>23</v>
      </c>
      <c r="B18" s="32"/>
      <c r="C18" s="32"/>
      <c r="D18" s="21"/>
      <c r="E18" t="s">
        <v>21</v>
      </c>
      <c r="F18" s="16">
        <f>F16*B3</f>
        <v>10000</v>
      </c>
      <c r="G18" s="12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36" t="s">
        <v>12</v>
      </c>
      <c r="B19" s="37">
        <v>0.99</v>
      </c>
      <c r="C19" s="38"/>
      <c r="D19" s="21"/>
      <c r="E19" t="s">
        <v>22</v>
      </c>
      <c r="F19" s="16">
        <f>ROUND(F9*F16+F15*F11,2)</f>
        <v>1065.39</v>
      </c>
      <c r="G19" s="12"/>
      <c r="I19" s="40" t="s">
        <v>108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36" t="s">
        <v>13</v>
      </c>
      <c r="B20" s="36">
        <f>ROUND(B3*(1-B19)/B4,4)</f>
        <v>0.02</v>
      </c>
      <c r="C20" s="38"/>
      <c r="D20" s="21"/>
      <c r="E20" s="21"/>
      <c r="F20" s="8"/>
      <c r="G20" s="8"/>
      <c r="I20" s="10">
        <f>H17/K17</f>
        <v>0.5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8" ht="12.75">
      <c r="A21" s="36" t="s">
        <v>11</v>
      </c>
      <c r="B21" s="36">
        <f>find_lz(B20)</f>
        <v>1.67</v>
      </c>
      <c r="C21" s="33"/>
      <c r="D21" s="1"/>
      <c r="F21" s="7"/>
      <c r="G21" s="7"/>
      <c r="H21" s="7"/>
    </row>
    <row r="22" spans="1:8" ht="12.75">
      <c r="A22" s="36" t="s">
        <v>9</v>
      </c>
      <c r="B22" s="36">
        <f>$B$3+B21*$B$4</f>
        <v>458.75</v>
      </c>
      <c r="C22" s="33"/>
      <c r="D22" s="1"/>
      <c r="F22" s="7"/>
      <c r="G22" s="7"/>
      <c r="H22" s="7"/>
    </row>
    <row r="23" spans="6:7" ht="12.75">
      <c r="F23" s="11"/>
      <c r="G23" s="11"/>
    </row>
    <row r="30" spans="2:7" ht="12.75">
      <c r="B30" s="13"/>
      <c r="F30" s="13"/>
      <c r="G30" s="13"/>
    </row>
    <row r="33" ht="12.75">
      <c r="F33" s="15"/>
    </row>
    <row r="34" ht="12.75">
      <c r="F34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34"/>
  <sheetViews>
    <sheetView zoomScale="120" zoomScaleNormal="120" zoomScalePageLayoutView="0" workbookViewId="0" topLeftCell="A1">
      <selection activeCell="I8" sqref="I8"/>
    </sheetView>
  </sheetViews>
  <sheetFormatPr defaultColWidth="9.140625" defaultRowHeight="12.75"/>
  <cols>
    <col min="1" max="1" width="30.7109375" style="0" customWidth="1"/>
    <col min="2" max="2" width="13.00390625" style="0" customWidth="1"/>
    <col min="3" max="3" width="5.7109375" style="0" customWidth="1"/>
    <col min="4" max="4" width="5.57421875" style="0" customWidth="1"/>
    <col min="5" max="5" width="30.8515625" style="0" customWidth="1"/>
    <col min="6" max="6" width="10.8515625" style="0" bestFit="1" customWidth="1"/>
    <col min="7" max="7" width="12.8515625" style="0" bestFit="1" customWidth="1"/>
    <col min="9" max="9" width="9.57421875" style="0" bestFit="1" customWidth="1"/>
    <col min="10" max="10" width="15.421875" style="0" bestFit="1" customWidth="1"/>
    <col min="12" max="12" width="17.00390625" style="0" bestFit="1" customWidth="1"/>
  </cols>
  <sheetData>
    <row r="1" spans="1:6" ht="18.75" thickBot="1">
      <c r="A1" s="19" t="s">
        <v>17</v>
      </c>
      <c r="B1" s="20"/>
      <c r="C1" s="20"/>
      <c r="D1" s="20"/>
      <c r="E1" s="20"/>
      <c r="F1" s="20"/>
    </row>
    <row r="2" ht="13.5" thickTop="1">
      <c r="A2" t="s">
        <v>10</v>
      </c>
    </row>
    <row r="3" spans="1:8" ht="12.75">
      <c r="A3" s="3" t="s">
        <v>16</v>
      </c>
      <c r="B3" s="3">
        <v>250</v>
      </c>
      <c r="F3" s="14"/>
      <c r="G3" s="14"/>
      <c r="H3" s="2" t="s">
        <v>99</v>
      </c>
    </row>
    <row r="4" spans="1:2" ht="12.75">
      <c r="A4" s="3" t="s">
        <v>18</v>
      </c>
      <c r="B4" s="3">
        <v>125</v>
      </c>
    </row>
    <row r="5" spans="6:13" ht="12.75">
      <c r="F5" s="3"/>
      <c r="G5" s="3"/>
      <c r="H5" s="2" t="s">
        <v>93</v>
      </c>
      <c r="I5">
        <v>115</v>
      </c>
      <c r="J5" s="2" t="s">
        <v>97</v>
      </c>
      <c r="L5" s="2"/>
      <c r="M5" s="2"/>
    </row>
    <row r="6" spans="1:13" ht="12.75">
      <c r="A6" s="18" t="s">
        <v>2</v>
      </c>
      <c r="B6" s="6"/>
      <c r="E6" s="18" t="s">
        <v>3</v>
      </c>
      <c r="F6" s="6"/>
      <c r="H6" s="2" t="s">
        <v>78</v>
      </c>
      <c r="I6">
        <f>'Buyback (2)'!I6-'Revenue Sharing (2)'!I9</f>
        <v>28.25</v>
      </c>
      <c r="J6" s="2" t="s">
        <v>84</v>
      </c>
      <c r="L6" s="2"/>
      <c r="M6" s="2"/>
    </row>
    <row r="7" spans="1:13" ht="15.75">
      <c r="A7" s="3" t="s">
        <v>14</v>
      </c>
      <c r="B7" s="3">
        <f>I6-I7</f>
        <v>3.25</v>
      </c>
      <c r="E7" s="3" t="s">
        <v>4</v>
      </c>
      <c r="F7" s="9">
        <f>B11</f>
        <v>403.75</v>
      </c>
      <c r="H7" s="2" t="s">
        <v>94</v>
      </c>
      <c r="I7">
        <v>25</v>
      </c>
      <c r="J7" s="2" t="s">
        <v>98</v>
      </c>
      <c r="L7" s="2"/>
      <c r="M7" s="2"/>
    </row>
    <row r="8" spans="1:13" ht="15.75">
      <c r="A8" s="3" t="s">
        <v>15</v>
      </c>
      <c r="B8" s="3">
        <f>I5-I6-I9</f>
        <v>26</v>
      </c>
      <c r="E8" t="s">
        <v>20</v>
      </c>
      <c r="F8" s="16">
        <f>ROUND((F7-B3)/B4,2)</f>
        <v>1.23</v>
      </c>
      <c r="H8" s="2" t="s">
        <v>95</v>
      </c>
      <c r="I8">
        <v>35</v>
      </c>
      <c r="J8" s="2" t="s">
        <v>96</v>
      </c>
      <c r="L8" s="2"/>
      <c r="M8" s="2"/>
    </row>
    <row r="9" spans="1:13" ht="15.75">
      <c r="A9" s="2" t="s">
        <v>19</v>
      </c>
      <c r="B9" s="1">
        <f>ROUND(B8/(B7+B8),4)</f>
        <v>0.8889</v>
      </c>
      <c r="E9" t="s">
        <v>0</v>
      </c>
      <c r="F9" s="16">
        <f>B4*(NORMDIST(F8,0,1,0)-F8*(1-NORMSDIST((F8))))</f>
        <v>6.592087335891072</v>
      </c>
      <c r="H9" s="2" t="s">
        <v>93</v>
      </c>
      <c r="I9">
        <f>'Buyback (2)'!I9-'Buyback (2)'!I7</f>
        <v>60.75</v>
      </c>
      <c r="J9" s="2" t="s">
        <v>87</v>
      </c>
      <c r="L9" s="2"/>
      <c r="M9" s="2"/>
    </row>
    <row r="10" spans="1:6" ht="12.75">
      <c r="A10" t="s">
        <v>11</v>
      </c>
      <c r="B10" s="16">
        <f>find_z(B9)</f>
        <v>1.23</v>
      </c>
      <c r="E10" t="s">
        <v>1</v>
      </c>
      <c r="F10" s="16">
        <f>B3-F9</f>
        <v>243.40791266410892</v>
      </c>
    </row>
    <row r="11" spans="1:7" ht="12.75">
      <c r="A11" t="s">
        <v>9</v>
      </c>
      <c r="B11" s="16">
        <f>B3+B4*B10</f>
        <v>403.75</v>
      </c>
      <c r="E11" t="s">
        <v>5</v>
      </c>
      <c r="F11" s="16">
        <f>F7-F10</f>
        <v>160.34208733589108</v>
      </c>
      <c r="G11" s="12"/>
    </row>
    <row r="12" spans="5:6" ht="12.75">
      <c r="E12" s="36" t="s">
        <v>100</v>
      </c>
      <c r="F12" s="39">
        <f>F10/B3</f>
        <v>0.9736316506564356</v>
      </c>
    </row>
    <row r="13" spans="1:6" ht="12.75">
      <c r="A13" s="31" t="s">
        <v>24</v>
      </c>
      <c r="B13" s="32"/>
      <c r="C13" s="32"/>
      <c r="D13" s="21"/>
      <c r="E13" t="s">
        <v>7</v>
      </c>
      <c r="F13" s="7">
        <f>1-NORMSDIST(F8)</f>
        <v>0.10934855242569186</v>
      </c>
    </row>
    <row r="14" spans="1:64" ht="12.75">
      <c r="A14" s="33" t="s">
        <v>25</v>
      </c>
      <c r="B14" s="33">
        <v>0.95</v>
      </c>
      <c r="C14" s="34"/>
      <c r="D14" s="22"/>
      <c r="I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" ht="15.75">
      <c r="A15" s="33" t="s">
        <v>11</v>
      </c>
      <c r="B15" s="35">
        <f>find_z(B14)</f>
        <v>1.65</v>
      </c>
      <c r="C15" s="36"/>
      <c r="D15" s="21"/>
      <c r="E15" s="3" t="s">
        <v>14</v>
      </c>
      <c r="F15" s="3">
        <f>B7</f>
        <v>3.25</v>
      </c>
    </row>
    <row r="16" spans="1:64" ht="15.75">
      <c r="A16" s="36" t="s">
        <v>9</v>
      </c>
      <c r="B16" s="36">
        <f>$B$3+B15*$B$4</f>
        <v>456.25</v>
      </c>
      <c r="C16" s="33"/>
      <c r="D16" s="23"/>
      <c r="E16" s="3" t="s">
        <v>15</v>
      </c>
      <c r="F16" s="3">
        <f>B8</f>
        <v>26</v>
      </c>
      <c r="H16" s="2" t="s">
        <v>101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>
      <c r="A17" s="36"/>
      <c r="B17" s="36"/>
      <c r="C17" s="33"/>
      <c r="D17" s="21"/>
      <c r="E17" t="s">
        <v>26</v>
      </c>
      <c r="F17" s="30">
        <f>F16*F10-F15*F11</f>
        <v>5807.493945425186</v>
      </c>
      <c r="G17" s="12"/>
      <c r="H17" s="2">
        <f>F10*I9+I6*F7-I8*F7</f>
        <v>12061.71819434462</v>
      </c>
      <c r="I17" s="1"/>
      <c r="J17" s="2" t="s">
        <v>104</v>
      </c>
      <c r="K17" s="16">
        <f>F17+H17</f>
        <v>17869.212139769807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31" t="s">
        <v>23</v>
      </c>
      <c r="B18" s="32"/>
      <c r="C18" s="32"/>
      <c r="D18" s="21"/>
      <c r="E18" t="s">
        <v>21</v>
      </c>
      <c r="F18" s="16">
        <f>F16*B3</f>
        <v>6500</v>
      </c>
      <c r="G18" s="12"/>
      <c r="H18" s="1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36" t="s">
        <v>12</v>
      </c>
      <c r="B19" s="37">
        <v>0.99</v>
      </c>
      <c r="C19" s="38"/>
      <c r="D19" s="21"/>
      <c r="E19" t="s">
        <v>22</v>
      </c>
      <c r="F19" s="16">
        <f>ROUND(F9*F16+F15*F11,2)</f>
        <v>692.51</v>
      </c>
      <c r="G19" s="12"/>
      <c r="H19" s="1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36" t="s">
        <v>13</v>
      </c>
      <c r="B20" s="36">
        <f>ROUND(B3*(1-B19)/B4,4)</f>
        <v>0.02</v>
      </c>
      <c r="C20" s="38"/>
      <c r="D20" s="21"/>
      <c r="E20" s="21"/>
      <c r="F20" s="8"/>
      <c r="G20" s="8"/>
      <c r="H20" s="40" t="s">
        <v>107</v>
      </c>
      <c r="I20">
        <f>H17/K17</f>
        <v>0.675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8" ht="12.75">
      <c r="A21" s="36" t="s">
        <v>11</v>
      </c>
      <c r="B21" s="36">
        <f>find_lz(B20)</f>
        <v>1.67</v>
      </c>
      <c r="C21" s="33"/>
      <c r="D21" s="1"/>
      <c r="F21" s="7"/>
      <c r="G21" s="7"/>
      <c r="H21" s="7"/>
    </row>
    <row r="22" spans="1:8" ht="12.75">
      <c r="A22" s="36" t="s">
        <v>9</v>
      </c>
      <c r="B22" s="36">
        <f>$B$3+B21*$B$4</f>
        <v>458.75</v>
      </c>
      <c r="C22" s="33"/>
      <c r="D22" s="1"/>
      <c r="F22" s="7"/>
      <c r="G22" s="7"/>
      <c r="H22" s="7"/>
    </row>
    <row r="23" spans="6:7" ht="12.75">
      <c r="F23" s="11"/>
      <c r="G23" s="11"/>
    </row>
    <row r="30" spans="2:7" ht="12.75">
      <c r="B30" s="13"/>
      <c r="F30" s="13"/>
      <c r="G30" s="13"/>
    </row>
    <row r="33" ht="12.75">
      <c r="F33" s="15"/>
    </row>
    <row r="34" ht="12.75">
      <c r="F34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Wharton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IIM-VinayK</cp:lastModifiedBy>
  <dcterms:created xsi:type="dcterms:W3CDTF">2001-12-31T18:12:52Z</dcterms:created>
  <dcterms:modified xsi:type="dcterms:W3CDTF">2016-07-08T11:32:47Z</dcterms:modified>
  <cp:category/>
  <cp:version/>
  <cp:contentType/>
  <cp:contentStatus/>
</cp:coreProperties>
</file>